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15" windowWidth="11280" windowHeight="6945" tabRatio="873"/>
  </bookViews>
  <sheets>
    <sheet name="Input Sheet" sheetId="1" r:id="rId1"/>
    <sheet name="Pg 1" sheetId="2" r:id="rId2"/>
    <sheet name="Pg 2" sheetId="3" r:id="rId3"/>
    <sheet name="Pg 3" sheetId="4" r:id="rId4"/>
    <sheet name="Pg 4" sheetId="5" r:id="rId5"/>
    <sheet name="Pg 5 Full" sheetId="7" r:id="rId6"/>
    <sheet name="Pg 5 70%" sheetId="6" r:id="rId7"/>
    <sheet name="Pg 6 Full" sheetId="10" r:id="rId8"/>
    <sheet name="Pg 6 70%" sheetId="9" r:id="rId9"/>
    <sheet name="Wrnt 5" sheetId="17" r:id="rId10"/>
    <sheet name="Wrnt 9 Input" sheetId="11" r:id="rId11"/>
    <sheet name="Fig 4C-9" sheetId="12" r:id="rId12"/>
    <sheet name="Fig 4C-10" sheetId="16" r:id="rId13"/>
    <sheet name="Worksheet" sheetId="8" r:id="rId14"/>
  </sheets>
  <definedNames>
    <definedName name="Direction">'Wrnt 9 Input'!$U$3:$U$4</definedName>
    <definedName name="EWYesNo">'Input Sheet'!$Z$16:$Z$16</definedName>
    <definedName name="Lanes">'Input Sheet'!$Z$7:$Z$8</definedName>
    <definedName name="NSYesNo">'Input Sheet'!$Z$9:$Z$9</definedName>
    <definedName name="_xlnm.Print_Area" localSheetId="12">'Fig 4C-10'!$A$1:$T$58</definedName>
    <definedName name="_xlnm.Print_Area" localSheetId="11">'Fig 4C-9'!$A$1:$T$59</definedName>
    <definedName name="_xlnm.Print_Area" localSheetId="0">'Input Sheet'!$A$1:$S$66</definedName>
    <definedName name="_xlnm.Print_Area" localSheetId="1">'Pg 1'!$A$1:$P$52</definedName>
    <definedName name="_xlnm.Print_Area" localSheetId="2">'Pg 2'!$A$1:$T$54</definedName>
    <definedName name="_xlnm.Print_Area" localSheetId="3">'Pg 3'!$A$1:$P$60</definedName>
    <definedName name="_xlnm.Print_Area" localSheetId="4">'Pg 4'!$A$1:$I$39</definedName>
    <definedName name="_xlnm.Print_Area" localSheetId="6">'Pg 5 70%'!$A$1:$K$61</definedName>
    <definedName name="_xlnm.Print_Area" localSheetId="5">'Pg 5 Full'!$A$1:$K$60</definedName>
    <definedName name="_xlnm.Print_Area" localSheetId="8">'Pg 6 70%'!$A$1:$K$61</definedName>
    <definedName name="_xlnm.Print_Area" localSheetId="7">'Pg 6 Full'!$A$1:$K$60</definedName>
    <definedName name="_xlnm.Print_Area" localSheetId="9">'Wrnt 5'!$A$1:$T$57</definedName>
    <definedName name="Table4C2">Worksheet!$FO$88:$FP$93</definedName>
    <definedName name="Table4C3">Worksheet!$FO$98:$FP$101</definedName>
    <definedName name="Table4C4">Worksheet!$FO$106:$FQ$112</definedName>
    <definedName name="X">'Pg 1'!$X$14</definedName>
    <definedName name="YesNo">'Input Sheet'!$Z$4:$Z$5</definedName>
  </definedNames>
  <calcPr calcId="125725"/>
</workbook>
</file>

<file path=xl/calcChain.xml><?xml version="1.0" encoding="utf-8"?>
<calcChain xmlns="http://schemas.openxmlformats.org/spreadsheetml/2006/main">
  <c r="B2" i="4"/>
  <c r="B2" i="3"/>
  <c r="B1" i="8"/>
  <c r="A1" i="9"/>
  <c r="A1" i="10"/>
  <c r="A1" i="6"/>
  <c r="A1" i="7"/>
  <c r="B2" i="5"/>
  <c r="B1" i="4"/>
  <c r="B1" i="3"/>
  <c r="B1" i="2"/>
  <c r="P41" i="17"/>
  <c r="B38"/>
  <c r="N11"/>
  <c r="P38" s="1"/>
  <c r="P35"/>
  <c r="O13"/>
  <c r="B18" s="1"/>
  <c r="G6"/>
  <c r="F6"/>
  <c r="B6"/>
  <c r="P29"/>
  <c r="S29" s="1"/>
  <c r="AA43" i="16"/>
  <c r="Y53"/>
  <c r="AA50"/>
  <c r="Y50"/>
  <c r="AA49"/>
  <c r="Y49"/>
  <c r="AA48"/>
  <c r="Y48"/>
  <c r="AA47"/>
  <c r="Y47"/>
  <c r="AA46"/>
  <c r="Y46"/>
  <c r="AA45"/>
  <c r="Y45"/>
  <c r="AA44"/>
  <c r="Y44"/>
  <c r="Y43"/>
  <c r="Y53" i="12"/>
  <c r="P18" i="9"/>
  <c r="P48"/>
  <c r="P48" i="10"/>
  <c r="P18"/>
  <c r="P18" i="6"/>
  <c r="P48"/>
  <c r="P18" i="7"/>
  <c r="P48"/>
  <c r="Q4" i="1"/>
  <c r="B20" i="17" l="1"/>
  <c r="S35"/>
  <c r="M5" i="2"/>
  <c r="L8" i="1"/>
  <c r="L15"/>
  <c r="FL18" i="8"/>
  <c r="FL30"/>
  <c r="S12" i="12" l="1"/>
  <c r="S11" i="16"/>
  <c r="L27"/>
  <c r="L26"/>
  <c r="L24"/>
  <c r="K22"/>
  <c r="K17"/>
  <c r="K15"/>
  <c r="N13"/>
  <c r="G13"/>
  <c r="F8"/>
  <c r="E8"/>
  <c r="B8"/>
  <c r="L28" i="12"/>
  <c r="N14"/>
  <c r="K18"/>
  <c r="K16"/>
  <c r="G14"/>
  <c r="FK106" i="8"/>
  <c r="FL106" s="1"/>
  <c r="K26" i="16" s="1"/>
  <c r="FK98" i="8"/>
  <c r="FK88"/>
  <c r="FL88" s="1"/>
  <c r="J22" i="16" s="1"/>
  <c r="FL98" i="8"/>
  <c r="K24" i="16" s="1"/>
  <c r="L27" i="12"/>
  <c r="L25"/>
  <c r="K23"/>
  <c r="F9"/>
  <c r="E9"/>
  <c r="B9"/>
  <c r="M40" i="4"/>
  <c r="O40" s="1"/>
  <c r="M59"/>
  <c r="M57" s="1"/>
  <c r="P53" i="3"/>
  <c r="P51" s="1"/>
  <c r="D18" i="8"/>
  <c r="E18"/>
  <c r="F18"/>
  <c r="H18"/>
  <c r="I18"/>
  <c r="J18"/>
  <c r="D19"/>
  <c r="E19"/>
  <c r="F19"/>
  <c r="H19"/>
  <c r="I19"/>
  <c r="J19"/>
  <c r="D20"/>
  <c r="E20"/>
  <c r="F20"/>
  <c r="H20"/>
  <c r="I20"/>
  <c r="J20"/>
  <c r="D21"/>
  <c r="E21"/>
  <c r="F21"/>
  <c r="H21"/>
  <c r="I21"/>
  <c r="J21"/>
  <c r="D22"/>
  <c r="E22"/>
  <c r="F22"/>
  <c r="H22"/>
  <c r="I22"/>
  <c r="J22"/>
  <c r="D23"/>
  <c r="E23"/>
  <c r="F23"/>
  <c r="H23"/>
  <c r="I23"/>
  <c r="J23"/>
  <c r="D24"/>
  <c r="E24"/>
  <c r="F24"/>
  <c r="H24"/>
  <c r="I24"/>
  <c r="J24"/>
  <c r="D25"/>
  <c r="E25"/>
  <c r="F25"/>
  <c r="H25"/>
  <c r="I25"/>
  <c r="J25"/>
  <c r="D26"/>
  <c r="E26"/>
  <c r="F26"/>
  <c r="H26"/>
  <c r="I26"/>
  <c r="J26"/>
  <c r="D27"/>
  <c r="E27"/>
  <c r="F27"/>
  <c r="H27"/>
  <c r="I27"/>
  <c r="J27"/>
  <c r="D28"/>
  <c r="E28"/>
  <c r="F28"/>
  <c r="H28"/>
  <c r="I28"/>
  <c r="J28"/>
  <c r="D29"/>
  <c r="E29"/>
  <c r="F29"/>
  <c r="H29"/>
  <c r="I29"/>
  <c r="J29"/>
  <c r="D30"/>
  <c r="E30"/>
  <c r="F30"/>
  <c r="H30"/>
  <c r="I30"/>
  <c r="J30"/>
  <c r="L18"/>
  <c r="M18"/>
  <c r="N18"/>
  <c r="P18"/>
  <c r="Q18"/>
  <c r="R18"/>
  <c r="L19"/>
  <c r="M19"/>
  <c r="N19"/>
  <c r="P19"/>
  <c r="Q19"/>
  <c r="R19"/>
  <c r="L20"/>
  <c r="M20"/>
  <c r="N20"/>
  <c r="P20"/>
  <c r="Q20"/>
  <c r="R20"/>
  <c r="L21"/>
  <c r="M21"/>
  <c r="N21"/>
  <c r="P21"/>
  <c r="Q21"/>
  <c r="R21"/>
  <c r="L22"/>
  <c r="M22"/>
  <c r="N22"/>
  <c r="P22"/>
  <c r="Q22"/>
  <c r="R22"/>
  <c r="L23"/>
  <c r="M23"/>
  <c r="N23"/>
  <c r="P23"/>
  <c r="Q23"/>
  <c r="R23"/>
  <c r="L24"/>
  <c r="M24"/>
  <c r="N24"/>
  <c r="P24"/>
  <c r="Q24"/>
  <c r="R24"/>
  <c r="L25"/>
  <c r="M25"/>
  <c r="N25"/>
  <c r="P25"/>
  <c r="Q25"/>
  <c r="R25"/>
  <c r="L26"/>
  <c r="M26"/>
  <c r="N26"/>
  <c r="P26"/>
  <c r="Q26"/>
  <c r="R26"/>
  <c r="L27"/>
  <c r="M27"/>
  <c r="N27"/>
  <c r="P27"/>
  <c r="Q27"/>
  <c r="R27"/>
  <c r="L28"/>
  <c r="M28"/>
  <c r="N28"/>
  <c r="P28"/>
  <c r="Q28"/>
  <c r="R28"/>
  <c r="L29"/>
  <c r="M29"/>
  <c r="N29"/>
  <c r="P29"/>
  <c r="Q29"/>
  <c r="R29"/>
  <c r="L30"/>
  <c r="M30"/>
  <c r="N30"/>
  <c r="P30"/>
  <c r="Q30"/>
  <c r="R30"/>
  <c r="B7" i="2"/>
  <c r="N16" s="1"/>
  <c r="G30" i="8"/>
  <c r="K30"/>
  <c r="G19"/>
  <c r="K19"/>
  <c r="G20"/>
  <c r="K20"/>
  <c r="G21"/>
  <c r="K21"/>
  <c r="G22"/>
  <c r="K22"/>
  <c r="G23"/>
  <c r="K23"/>
  <c r="G24"/>
  <c r="K24"/>
  <c r="G25"/>
  <c r="K25"/>
  <c r="G26"/>
  <c r="K26"/>
  <c r="G27"/>
  <c r="K27"/>
  <c r="G28"/>
  <c r="K28"/>
  <c r="G29"/>
  <c r="K29"/>
  <c r="DN9"/>
  <c r="O25" i="4"/>
  <c r="O23"/>
  <c r="I10"/>
  <c r="F10"/>
  <c r="E10"/>
  <c r="D10"/>
  <c r="I5" i="2"/>
  <c r="L7" i="12" s="1"/>
  <c r="D43" i="8"/>
  <c r="C43"/>
  <c r="C40"/>
  <c r="D40"/>
  <c r="C41"/>
  <c r="D41"/>
  <c r="C42"/>
  <c r="D42"/>
  <c r="C44"/>
  <c r="D44"/>
  <c r="C45"/>
  <c r="D45"/>
  <c r="C46"/>
  <c r="D46"/>
  <c r="C47"/>
  <c r="D47"/>
  <c r="C48"/>
  <c r="D48"/>
  <c r="C49"/>
  <c r="D49"/>
  <c r="C50"/>
  <c r="D50"/>
  <c r="C39"/>
  <c r="D39"/>
  <c r="C51"/>
  <c r="D51"/>
  <c r="F38" i="5"/>
  <c r="F37"/>
  <c r="F36"/>
  <c r="F35"/>
  <c r="F34"/>
  <c r="F33"/>
  <c r="F32"/>
  <c r="F31"/>
  <c r="F30"/>
  <c r="F29"/>
  <c r="F28"/>
  <c r="F27"/>
  <c r="E38"/>
  <c r="E37"/>
  <c r="E36"/>
  <c r="E35"/>
  <c r="E34"/>
  <c r="E33"/>
  <c r="E32"/>
  <c r="E31"/>
  <c r="E30"/>
  <c r="E29"/>
  <c r="E28"/>
  <c r="E27"/>
  <c r="F26"/>
  <c r="E26"/>
  <c r="O30" i="8"/>
  <c r="S30"/>
  <c r="O19"/>
  <c r="S19"/>
  <c r="O20"/>
  <c r="S20"/>
  <c r="O22"/>
  <c r="S22"/>
  <c r="O24"/>
  <c r="S24"/>
  <c r="O26"/>
  <c r="S26"/>
  <c r="O27"/>
  <c r="S27"/>
  <c r="O28"/>
  <c r="S28"/>
  <c r="O29"/>
  <c r="S29"/>
  <c r="B51"/>
  <c r="B50"/>
  <c r="B49"/>
  <c r="B48"/>
  <c r="B47"/>
  <c r="B46"/>
  <c r="B45"/>
  <c r="B44"/>
  <c r="B43"/>
  <c r="B42"/>
  <c r="B41"/>
  <c r="B40"/>
  <c r="B39"/>
  <c r="B65" i="1"/>
  <c r="B64"/>
  <c r="B63"/>
  <c r="B62"/>
  <c r="B61"/>
  <c r="B60"/>
  <c r="B59"/>
  <c r="B58"/>
  <c r="B57"/>
  <c r="B56"/>
  <c r="B55"/>
  <c r="B54"/>
  <c r="B53"/>
  <c r="B20" i="5"/>
  <c r="B19"/>
  <c r="B18"/>
  <c r="B17"/>
  <c r="B16"/>
  <c r="B15"/>
  <c r="B14"/>
  <c r="B13"/>
  <c r="B12"/>
  <c r="B11"/>
  <c r="B10"/>
  <c r="B9"/>
  <c r="B8"/>
  <c r="C38"/>
  <c r="C37"/>
  <c r="C36"/>
  <c r="C35"/>
  <c r="C34"/>
  <c r="C33"/>
  <c r="C32"/>
  <c r="C31"/>
  <c r="C30"/>
  <c r="C29"/>
  <c r="C28"/>
  <c r="C27"/>
  <c r="C26"/>
  <c r="I7" i="2"/>
  <c r="L9" i="12" s="1"/>
  <c r="E7" i="2"/>
  <c r="D7"/>
  <c r="M7"/>
  <c r="Q9" i="12" s="1"/>
  <c r="Q7"/>
  <c r="ED9" i="8"/>
  <c r="EB9"/>
  <c r="DZ9"/>
  <c r="DV9"/>
  <c r="DT9"/>
  <c r="DR9"/>
  <c r="DL9"/>
  <c r="DJ9"/>
  <c r="DF9"/>
  <c r="DD9"/>
  <c r="DB9"/>
  <c r="S25"/>
  <c r="O25"/>
  <c r="S23"/>
  <c r="O23"/>
  <c r="S21"/>
  <c r="O21"/>
  <c r="S18"/>
  <c r="O18"/>
  <c r="K18"/>
  <c r="G18"/>
  <c r="Y44" i="12" l="1"/>
  <c r="Y46"/>
  <c r="Y48"/>
  <c r="Y50"/>
  <c r="AA44"/>
  <c r="AA46"/>
  <c r="AA48"/>
  <c r="AA50"/>
  <c r="Y45"/>
  <c r="Y47"/>
  <c r="Y49"/>
  <c r="Y43"/>
  <c r="AA45"/>
  <c r="AA47"/>
  <c r="AA49"/>
  <c r="AA43"/>
  <c r="FM18" i="8"/>
  <c r="FM30"/>
  <c r="Q8" i="16"/>
  <c r="L8"/>
  <c r="L6"/>
  <c r="Q6"/>
  <c r="J23" i="12"/>
  <c r="K27"/>
  <c r="K25"/>
  <c r="Y29" i="8"/>
  <c r="AA29" s="1"/>
  <c r="Y27"/>
  <c r="AA27" s="1"/>
  <c r="Y25"/>
  <c r="Z29"/>
  <c r="Z27"/>
  <c r="Z25"/>
  <c r="AA25" s="1"/>
  <c r="AC24"/>
  <c r="Y23"/>
  <c r="Y21"/>
  <c r="Y19"/>
  <c r="U29"/>
  <c r="FL29" s="1"/>
  <c r="U27"/>
  <c r="FL27" s="1"/>
  <c r="Z23"/>
  <c r="Z21"/>
  <c r="Z19"/>
  <c r="V29"/>
  <c r="V27"/>
  <c r="V25"/>
  <c r="U25"/>
  <c r="FL25" s="1"/>
  <c r="U23"/>
  <c r="FL23" s="1"/>
  <c r="U21"/>
  <c r="FL21" s="1"/>
  <c r="FM21" s="1"/>
  <c r="V23"/>
  <c r="X23" s="1"/>
  <c r="V21"/>
  <c r="V20"/>
  <c r="U20"/>
  <c r="FL20" s="1"/>
  <c r="FM20" s="1"/>
  <c r="E43"/>
  <c r="V18"/>
  <c r="AC21"/>
  <c r="EH21" s="1"/>
  <c r="AC23"/>
  <c r="CG23" s="1"/>
  <c r="AC19"/>
  <c r="CG19" s="1"/>
  <c r="AC27"/>
  <c r="CG27" s="1"/>
  <c r="AC22"/>
  <c r="CG22" s="1"/>
  <c r="AC20"/>
  <c r="CG20" s="1"/>
  <c r="AC18"/>
  <c r="E48"/>
  <c r="E44"/>
  <c r="E41"/>
  <c r="E40"/>
  <c r="AC29"/>
  <c r="CG29" s="1"/>
  <c r="AC25"/>
  <c r="CG25" s="1"/>
  <c r="AC30"/>
  <c r="G20" i="5" s="1"/>
  <c r="AC28" i="8"/>
  <c r="CG28" s="1"/>
  <c r="AC26"/>
  <c r="E51"/>
  <c r="E50"/>
  <c r="E49"/>
  <c r="E46"/>
  <c r="E45"/>
  <c r="U19"/>
  <c r="FL19" s="1"/>
  <c r="FM19" s="1"/>
  <c r="V19"/>
  <c r="U18"/>
  <c r="CG24"/>
  <c r="Z30"/>
  <c r="Z28"/>
  <c r="Z26"/>
  <c r="Z24"/>
  <c r="AA23"/>
  <c r="Z22"/>
  <c r="Z20"/>
  <c r="Z18"/>
  <c r="V30"/>
  <c r="V28"/>
  <c r="V26"/>
  <c r="V24"/>
  <c r="V22"/>
  <c r="E39"/>
  <c r="E47"/>
  <c r="E42"/>
  <c r="Y30"/>
  <c r="Y28"/>
  <c r="Y26"/>
  <c r="Y24"/>
  <c r="Y22"/>
  <c r="Y20"/>
  <c r="Y18"/>
  <c r="U30"/>
  <c r="U28"/>
  <c r="FL28" s="1"/>
  <c r="U26"/>
  <c r="FL26" s="1"/>
  <c r="U24"/>
  <c r="FL24" s="1"/>
  <c r="U22"/>
  <c r="FL22" s="1"/>
  <c r="FM22" s="1"/>
  <c r="AA21" l="1"/>
  <c r="AA19"/>
  <c r="EH30"/>
  <c r="X21"/>
  <c r="FM24"/>
  <c r="FM26"/>
  <c r="FM23"/>
  <c r="FM27"/>
  <c r="FM28"/>
  <c r="FM25"/>
  <c r="FM29"/>
  <c r="W23"/>
  <c r="W20"/>
  <c r="W25"/>
  <c r="W27"/>
  <c r="W29"/>
  <c r="W21"/>
  <c r="X18"/>
  <c r="EH18"/>
  <c r="M36" i="4"/>
  <c r="O36" s="1"/>
  <c r="X25" i="8"/>
  <c r="AB25"/>
  <c r="AB29"/>
  <c r="AA26"/>
  <c r="CG21"/>
  <c r="CI21" s="1"/>
  <c r="X20"/>
  <c r="AB27"/>
  <c r="AA30"/>
  <c r="X27"/>
  <c r="AB19"/>
  <c r="AB23"/>
  <c r="AA18"/>
  <c r="AA22"/>
  <c r="W30"/>
  <c r="W18"/>
  <c r="B35" i="4"/>
  <c r="G11" i="5"/>
  <c r="X29" i="8"/>
  <c r="AB21"/>
  <c r="W19"/>
  <c r="W26"/>
  <c r="W24"/>
  <c r="CG26"/>
  <c r="G8" i="5"/>
  <c r="AA20" i="8"/>
  <c r="AA24"/>
  <c r="AA28"/>
  <c r="F20" i="3"/>
  <c r="CG18" i="8"/>
  <c r="CI18" s="1"/>
  <c r="X19"/>
  <c r="CG30"/>
  <c r="CI30" s="1"/>
  <c r="J20" i="3"/>
  <c r="W28" i="8"/>
  <c r="M20" i="3"/>
  <c r="W22" i="8"/>
  <c r="AB20"/>
  <c r="AB24"/>
  <c r="AB28"/>
  <c r="X22"/>
  <c r="X24"/>
  <c r="X26"/>
  <c r="X28"/>
  <c r="X30"/>
  <c r="BT10"/>
  <c r="CG34" s="1"/>
  <c r="AB18"/>
  <c r="AB22"/>
  <c r="AB26"/>
  <c r="AB30"/>
  <c r="P20" i="3" l="1"/>
  <c r="S20" s="1"/>
  <c r="AA31" i="8"/>
  <c r="W31"/>
  <c r="L41" i="17" l="1"/>
  <c r="L9"/>
  <c r="J41"/>
  <c r="D9"/>
  <c r="U4" i="11"/>
  <c r="U3"/>
  <c r="EH26" i="8"/>
  <c r="EH23"/>
  <c r="AF21"/>
  <c r="AE27"/>
  <c r="FK27" s="1"/>
  <c r="EH27"/>
  <c r="EH24"/>
  <c r="EH28"/>
  <c r="EH29"/>
  <c r="EH19"/>
  <c r="EH20"/>
  <c r="EH25"/>
  <c r="EH6"/>
  <c r="H51" i="4"/>
  <c r="H48"/>
  <c r="H45"/>
  <c r="K51"/>
  <c r="K48"/>
  <c r="K45"/>
  <c r="AF25" i="8"/>
  <c r="E15" i="5" s="1"/>
  <c r="N12" i="2"/>
  <c r="C50" s="1"/>
  <c r="AE23" i="8"/>
  <c r="FK23" s="1"/>
  <c r="AE19"/>
  <c r="FK19" s="1"/>
  <c r="I10" i="2"/>
  <c r="N14" s="1"/>
  <c r="AF28" i="8"/>
  <c r="CK28" s="1"/>
  <c r="AF27"/>
  <c r="BS27" s="1"/>
  <c r="AF23"/>
  <c r="BS23" s="1"/>
  <c r="AF19"/>
  <c r="AE29"/>
  <c r="FK29" s="1"/>
  <c r="AE25"/>
  <c r="FK25" s="1"/>
  <c r="AE21"/>
  <c r="FK21" s="1"/>
  <c r="N10" i="2"/>
  <c r="C49" s="1"/>
  <c r="M10" i="4"/>
  <c r="M14" s="1"/>
  <c r="O14" s="1"/>
  <c r="AF18" i="8"/>
  <c r="BS18" s="1"/>
  <c r="E52" i="1"/>
  <c r="C38" i="8" s="1"/>
  <c r="AF24"/>
  <c r="E14" i="5" s="1"/>
  <c r="E25"/>
  <c r="AF30" i="8"/>
  <c r="CK30" s="1"/>
  <c r="AF26"/>
  <c r="BS26" s="1"/>
  <c r="AF22"/>
  <c r="BS22" s="1"/>
  <c r="AE24"/>
  <c r="FK24" s="1"/>
  <c r="F25" i="5"/>
  <c r="AF20" i="8"/>
  <c r="BS20" s="1"/>
  <c r="AE28"/>
  <c r="C18" i="5" s="1"/>
  <c r="AE20" i="8"/>
  <c r="CZ20" s="1"/>
  <c r="AF29"/>
  <c r="CK29" s="1"/>
  <c r="AE30"/>
  <c r="DH30" s="1"/>
  <c r="AE26"/>
  <c r="FK26" s="1"/>
  <c r="AE22"/>
  <c r="AE18"/>
  <c r="CZ18" s="1"/>
  <c r="F52" i="1"/>
  <c r="D38" i="8" s="1"/>
  <c r="I12" i="2"/>
  <c r="EH22" i="8"/>
  <c r="C12" i="2"/>
  <c r="C10"/>
  <c r="EG27" i="8"/>
  <c r="CZ23"/>
  <c r="CZ19"/>
  <c r="EG25"/>
  <c r="G15" i="5"/>
  <c r="G19"/>
  <c r="G9"/>
  <c r="G10"/>
  <c r="G13"/>
  <c r="G14"/>
  <c r="G17"/>
  <c r="G18"/>
  <c r="E17"/>
  <c r="E13"/>
  <c r="CK19" i="8"/>
  <c r="BS19"/>
  <c r="E9" i="5"/>
  <c r="C19"/>
  <c r="AG25" i="8"/>
  <c r="C15" i="5"/>
  <c r="DH21" i="8"/>
  <c r="C11" i="5"/>
  <c r="C25" i="2"/>
  <c r="BS24" i="8"/>
  <c r="CK24"/>
  <c r="DP26"/>
  <c r="C16" i="5"/>
  <c r="DX26" i="8"/>
  <c r="C8" i="5"/>
  <c r="BS25" i="8"/>
  <c r="CK25"/>
  <c r="BS21"/>
  <c r="CK21"/>
  <c r="E11" i="5"/>
  <c r="DH27" i="8"/>
  <c r="DX27"/>
  <c r="DH23"/>
  <c r="DP19"/>
  <c r="DX19"/>
  <c r="CK26"/>
  <c r="CK22"/>
  <c r="E12" i="5"/>
  <c r="CK18" i="8"/>
  <c r="DP28"/>
  <c r="AG28"/>
  <c r="DX28"/>
  <c r="DH28"/>
  <c r="AG24"/>
  <c r="C10" i="5"/>
  <c r="DH20" i="8"/>
  <c r="AG21" l="1"/>
  <c r="FT21" s="1"/>
  <c r="E20" i="5"/>
  <c r="DP23" i="8"/>
  <c r="AG18"/>
  <c r="FT18" s="1"/>
  <c r="DX25"/>
  <c r="CK27"/>
  <c r="CZ25"/>
  <c r="DP20"/>
  <c r="E8" i="5"/>
  <c r="BS30" i="8"/>
  <c r="C13" i="5"/>
  <c r="AG23" i="8"/>
  <c r="DP27"/>
  <c r="DH18"/>
  <c r="DP18"/>
  <c r="EB18" s="1"/>
  <c r="E18" i="5"/>
  <c r="DH25" i="8"/>
  <c r="DH29"/>
  <c r="CZ27"/>
  <c r="DX24"/>
  <c r="DX23"/>
  <c r="C17" i="5"/>
  <c r="AG27" i="8"/>
  <c r="DX18"/>
  <c r="DH26"/>
  <c r="BS28"/>
  <c r="DP25"/>
  <c r="AG29"/>
  <c r="BS29"/>
  <c r="EG23"/>
  <c r="AG30"/>
  <c r="FT30" s="1"/>
  <c r="H35" i="3"/>
  <c r="B42" s="1"/>
  <c r="P40" i="9"/>
  <c r="P42"/>
  <c r="P44"/>
  <c r="P38"/>
  <c r="R40"/>
  <c r="R42"/>
  <c r="R44"/>
  <c r="R38"/>
  <c r="R10"/>
  <c r="R12"/>
  <c r="R14"/>
  <c r="R8"/>
  <c r="P10"/>
  <c r="P12"/>
  <c r="P14"/>
  <c r="P8"/>
  <c r="P39"/>
  <c r="P41"/>
  <c r="P43"/>
  <c r="P45"/>
  <c r="R39"/>
  <c r="R41"/>
  <c r="R43"/>
  <c r="R45"/>
  <c r="R9"/>
  <c r="R11"/>
  <c r="R13"/>
  <c r="R15"/>
  <c r="P9"/>
  <c r="P11"/>
  <c r="P13"/>
  <c r="P15"/>
  <c r="CG38" i="8"/>
  <c r="CH29" s="1"/>
  <c r="FT46"/>
  <c r="FP46"/>
  <c r="FL46"/>
  <c r="FV46"/>
  <c r="FR46"/>
  <c r="FN46"/>
  <c r="FP21"/>
  <c r="FV43"/>
  <c r="FR43"/>
  <c r="FN43"/>
  <c r="FT43"/>
  <c r="FP43"/>
  <c r="FL43"/>
  <c r="FP29"/>
  <c r="FV51"/>
  <c r="FR51"/>
  <c r="FN51"/>
  <c r="FT51"/>
  <c r="FP51"/>
  <c r="FL51"/>
  <c r="FV41"/>
  <c r="FR41"/>
  <c r="FN41"/>
  <c r="FT41"/>
  <c r="FP41"/>
  <c r="FL41"/>
  <c r="FP26"/>
  <c r="FT48"/>
  <c r="FP48"/>
  <c r="FL48"/>
  <c r="FV48"/>
  <c r="FR48"/>
  <c r="FN48"/>
  <c r="FP25"/>
  <c r="FV47"/>
  <c r="FR47"/>
  <c r="FN47"/>
  <c r="FT47"/>
  <c r="FP47"/>
  <c r="FL47"/>
  <c r="FV45"/>
  <c r="FR45"/>
  <c r="FN45"/>
  <c r="FT45"/>
  <c r="FP45"/>
  <c r="FL45"/>
  <c r="FV162"/>
  <c r="FV49"/>
  <c r="FR49"/>
  <c r="FN49"/>
  <c r="FT49"/>
  <c r="FP49"/>
  <c r="FL49"/>
  <c r="DX20"/>
  <c r="AG20"/>
  <c r="DH24"/>
  <c r="C14" i="5"/>
  <c r="DP24" i="8"/>
  <c r="E16" i="5"/>
  <c r="C9"/>
  <c r="DH19" i="8"/>
  <c r="AG19"/>
  <c r="DX21"/>
  <c r="DP21"/>
  <c r="DX29"/>
  <c r="DP29"/>
  <c r="CK23"/>
  <c r="CZ21"/>
  <c r="C26" i="2"/>
  <c r="EG26" i="8"/>
  <c r="FA26" s="1"/>
  <c r="E19" i="5"/>
  <c r="CZ26" i="8"/>
  <c r="EG24"/>
  <c r="EI24" s="1"/>
  <c r="EJ24" s="1"/>
  <c r="FP162"/>
  <c r="CZ29"/>
  <c r="AG26"/>
  <c r="FL162"/>
  <c r="FT162"/>
  <c r="D11" i="16"/>
  <c r="B5" i="11"/>
  <c r="FN162" i="8"/>
  <c r="FR162"/>
  <c r="K11" i="16"/>
  <c r="B7" i="11"/>
  <c r="G16" i="5"/>
  <c r="FN27" i="8"/>
  <c r="FO27" s="1"/>
  <c r="CK20"/>
  <c r="FR159"/>
  <c r="FV159"/>
  <c r="FT159"/>
  <c r="FV156"/>
  <c r="FT156"/>
  <c r="FR156"/>
  <c r="FV164"/>
  <c r="FT164"/>
  <c r="FR164"/>
  <c r="FV154"/>
  <c r="FT154"/>
  <c r="FR154"/>
  <c r="FR161"/>
  <c r="FV161"/>
  <c r="FT161"/>
  <c r="FV160"/>
  <c r="FT160"/>
  <c r="FR160"/>
  <c r="FV158"/>
  <c r="FT158"/>
  <c r="FR158"/>
  <c r="FN161"/>
  <c r="FL161"/>
  <c r="FP161"/>
  <c r="FP160"/>
  <c r="FN160"/>
  <c r="FL160"/>
  <c r="FP158"/>
  <c r="FN158"/>
  <c r="FL158"/>
  <c r="FN159"/>
  <c r="FL159"/>
  <c r="FP159"/>
  <c r="FP156"/>
  <c r="FN156"/>
  <c r="FL156"/>
  <c r="FP164"/>
  <c r="FN164"/>
  <c r="FL164"/>
  <c r="FP154"/>
  <c r="FN154"/>
  <c r="FL154"/>
  <c r="E10" i="5"/>
  <c r="CZ24" i="8"/>
  <c r="EG21"/>
  <c r="FA21" s="1"/>
  <c r="EG29"/>
  <c r="EG19"/>
  <c r="EO19" s="1"/>
  <c r="EP19" s="1"/>
  <c r="C42" i="2"/>
  <c r="EG20" i="8"/>
  <c r="FK20"/>
  <c r="EG22"/>
  <c r="EO22" s="1"/>
  <c r="EP22" s="1"/>
  <c r="FK22"/>
  <c r="EG30"/>
  <c r="FA30" s="1"/>
  <c r="FK30"/>
  <c r="FK18"/>
  <c r="EG18"/>
  <c r="FA18" s="1"/>
  <c r="EG28"/>
  <c r="FK28"/>
  <c r="C20" i="5"/>
  <c r="C43" i="2"/>
  <c r="C34"/>
  <c r="C33"/>
  <c r="K12" i="12"/>
  <c r="D12"/>
  <c r="EH33" i="8"/>
  <c r="CZ30"/>
  <c r="DJ30" s="1"/>
  <c r="DX30"/>
  <c r="DP30"/>
  <c r="EB30" s="1"/>
  <c r="DH22"/>
  <c r="M54" i="4"/>
  <c r="M31" s="1"/>
  <c r="O31" s="1"/>
  <c r="DP22" i="8"/>
  <c r="DV22" s="1"/>
  <c r="CZ28"/>
  <c r="C12" i="5"/>
  <c r="CZ22" i="8"/>
  <c r="DL22" s="1"/>
  <c r="O10" i="4"/>
  <c r="M17"/>
  <c r="O17" s="1"/>
  <c r="DX22" i="8"/>
  <c r="AG22"/>
  <c r="G12" i="5"/>
  <c r="B32" i="3"/>
  <c r="BT6" i="8"/>
  <c r="B31" i="3"/>
  <c r="B11"/>
  <c r="B12"/>
  <c r="EO20" i="8"/>
  <c r="EP20" s="1"/>
  <c r="ER20"/>
  <c r="ES20" s="1"/>
  <c r="EO24"/>
  <c r="EP24" s="1"/>
  <c r="ER24"/>
  <c r="ES24" s="1"/>
  <c r="EO28"/>
  <c r="EP28" s="1"/>
  <c r="ER28"/>
  <c r="ES28" s="1"/>
  <c r="ER18"/>
  <c r="ES18" s="1"/>
  <c r="EO26"/>
  <c r="EV26" s="1"/>
  <c r="ER26"/>
  <c r="ES26" s="1"/>
  <c r="EO30"/>
  <c r="EP30" s="1"/>
  <c r="ER30"/>
  <c r="ES30" s="1"/>
  <c r="EO21"/>
  <c r="EP21" s="1"/>
  <c r="ER21"/>
  <c r="ES21" s="1"/>
  <c r="EO25"/>
  <c r="EP25" s="1"/>
  <c r="ER25"/>
  <c r="ES25" s="1"/>
  <c r="EO29"/>
  <c r="EP29" s="1"/>
  <c r="ER29"/>
  <c r="ES29" s="1"/>
  <c r="EO23"/>
  <c r="EP23" s="1"/>
  <c r="ER23"/>
  <c r="ES23" s="1"/>
  <c r="EO27"/>
  <c r="EP27" s="1"/>
  <c r="ER27"/>
  <c r="ES27" s="1"/>
  <c r="EL20"/>
  <c r="EM20" s="1"/>
  <c r="EL24"/>
  <c r="EM24" s="1"/>
  <c r="EL28"/>
  <c r="EM28" s="1"/>
  <c r="EL23"/>
  <c r="EM23" s="1"/>
  <c r="EL27"/>
  <c r="EM27" s="1"/>
  <c r="EL26"/>
  <c r="EM26" s="1"/>
  <c r="EL30"/>
  <c r="EM30" s="1"/>
  <c r="EL21"/>
  <c r="EM21" s="1"/>
  <c r="EL25"/>
  <c r="EM25" s="1"/>
  <c r="EL29"/>
  <c r="EM29" s="1"/>
  <c r="EI20"/>
  <c r="EJ20" s="1"/>
  <c r="EI28"/>
  <c r="EJ28" s="1"/>
  <c r="EI19"/>
  <c r="EJ19" s="1"/>
  <c r="EI23"/>
  <c r="EU23" s="1"/>
  <c r="EI27"/>
  <c r="EJ27" s="1"/>
  <c r="EI26"/>
  <c r="EU26" s="1"/>
  <c r="EI30"/>
  <c r="EJ30" s="1"/>
  <c r="EI21"/>
  <c r="EJ21" s="1"/>
  <c r="EI25"/>
  <c r="EU25" s="1"/>
  <c r="EI29"/>
  <c r="EJ29" s="1"/>
  <c r="CH18"/>
  <c r="CH22"/>
  <c r="CH26"/>
  <c r="CH30"/>
  <c r="CH21"/>
  <c r="CH25"/>
  <c r="CH19"/>
  <c r="CH23"/>
  <c r="CH27"/>
  <c r="DF18"/>
  <c r="DN18"/>
  <c r="DL18"/>
  <c r="DJ18"/>
  <c r="DD18"/>
  <c r="DB18"/>
  <c r="BZ30"/>
  <c r="BN30"/>
  <c r="AV30"/>
  <c r="DN21"/>
  <c r="DF21"/>
  <c r="DJ21"/>
  <c r="DD21"/>
  <c r="DB21"/>
  <c r="DL21"/>
  <c r="CR21"/>
  <c r="BZ21"/>
  <c r="BN21"/>
  <c r="BE21"/>
  <c r="AV21"/>
  <c r="AM21"/>
  <c r="AG34"/>
  <c r="AM18"/>
  <c r="DV18"/>
  <c r="ED18"/>
  <c r="DT18"/>
  <c r="DR18"/>
  <c r="DT30"/>
  <c r="DN30"/>
  <c r="DF30"/>
  <c r="DD30"/>
  <c r="DB30"/>
  <c r="DL30"/>
  <c r="DV21"/>
  <c r="ED21"/>
  <c r="EB21"/>
  <c r="DZ21"/>
  <c r="DT21"/>
  <c r="DR21"/>
  <c r="DN22"/>
  <c r="DF22"/>
  <c r="DJ22"/>
  <c r="DD22"/>
  <c r="DB22"/>
  <c r="EB22"/>
  <c r="DZ22"/>
  <c r="CH24"/>
  <c r="CH28"/>
  <c r="CH20"/>
  <c r="DR22" l="1"/>
  <c r="ED22"/>
  <c r="CL22" s="1"/>
  <c r="CM22" s="1"/>
  <c r="DZ30"/>
  <c r="DV30"/>
  <c r="DZ18"/>
  <c r="AV18"/>
  <c r="BZ18"/>
  <c r="BE30"/>
  <c r="CR30"/>
  <c r="B43" i="3"/>
  <c r="EI22" i="8"/>
  <c r="EJ22" s="1"/>
  <c r="EL18"/>
  <c r="EM18" s="1"/>
  <c r="EL19"/>
  <c r="EM19" s="1"/>
  <c r="ER19"/>
  <c r="ES19" s="1"/>
  <c r="ER22"/>
  <c r="ES22" s="1"/>
  <c r="DT22"/>
  <c r="DR30"/>
  <c r="ED30"/>
  <c r="CL30" s="1"/>
  <c r="CM30" s="1"/>
  <c r="BE18"/>
  <c r="CR18"/>
  <c r="AM30"/>
  <c r="EL22"/>
  <c r="EM22" s="1"/>
  <c r="BN18"/>
  <c r="EI18"/>
  <c r="EJ18" s="1"/>
  <c r="EO18"/>
  <c r="EP18" s="1"/>
  <c r="EJ26"/>
  <c r="EJ23"/>
  <c r="EP26"/>
  <c r="EJ25"/>
  <c r="FP18"/>
  <c r="FV40"/>
  <c r="FR40"/>
  <c r="FN40"/>
  <c r="FT40"/>
  <c r="FP40"/>
  <c r="FL40"/>
  <c r="FT50"/>
  <c r="FP50"/>
  <c r="FL50"/>
  <c r="FV50"/>
  <c r="FR50"/>
  <c r="FN50"/>
  <c r="FP30"/>
  <c r="FT52"/>
  <c r="FP52"/>
  <c r="FL52"/>
  <c r="FV52"/>
  <c r="FR52"/>
  <c r="FN52"/>
  <c r="FP22"/>
  <c r="FT44"/>
  <c r="FP44"/>
  <c r="FL44"/>
  <c r="FV44"/>
  <c r="FR44"/>
  <c r="FN44"/>
  <c r="FT42"/>
  <c r="FP42"/>
  <c r="FL42"/>
  <c r="FV42"/>
  <c r="FR42"/>
  <c r="FN42"/>
  <c r="FP27"/>
  <c r="EU27"/>
  <c r="EU24"/>
  <c r="EV27"/>
  <c r="EV23"/>
  <c r="EV25"/>
  <c r="EV24"/>
  <c r="EU7"/>
  <c r="EV18"/>
  <c r="EU18"/>
  <c r="EV29"/>
  <c r="EU29"/>
  <c r="BT18"/>
  <c r="BU18" s="1"/>
  <c r="EU28"/>
  <c r="EV28"/>
  <c r="EV30"/>
  <c r="EU30"/>
  <c r="EU22"/>
  <c r="EV22"/>
  <c r="EU20"/>
  <c r="EV20"/>
  <c r="EV19"/>
  <c r="EU19"/>
  <c r="EV21"/>
  <c r="EU21"/>
  <c r="FN19"/>
  <c r="FO19" s="1"/>
  <c r="FN24"/>
  <c r="FO24" s="1"/>
  <c r="FN23"/>
  <c r="FO23" s="1"/>
  <c r="FN26"/>
  <c r="FO26" s="1"/>
  <c r="FN29"/>
  <c r="FO29" s="1"/>
  <c r="FN21"/>
  <c r="FO21" s="1"/>
  <c r="FN25"/>
  <c r="FO25" s="1"/>
  <c r="FV153"/>
  <c r="FT153"/>
  <c r="FR153"/>
  <c r="FR163"/>
  <c r="FV163"/>
  <c r="FT163"/>
  <c r="FR165"/>
  <c r="FV165"/>
  <c r="FT165"/>
  <c r="FR157"/>
  <c r="FV157"/>
  <c r="FT157"/>
  <c r="FR155"/>
  <c r="FV155"/>
  <c r="FT155"/>
  <c r="FN163"/>
  <c r="FL163"/>
  <c r="FP163"/>
  <c r="FN165"/>
  <c r="FL165"/>
  <c r="FP165"/>
  <c r="FN157"/>
  <c r="FL157"/>
  <c r="FP157"/>
  <c r="FN155"/>
  <c r="FL155"/>
  <c r="FP155"/>
  <c r="FP153"/>
  <c r="FL153"/>
  <c r="FN153"/>
  <c r="EK25"/>
  <c r="EK30"/>
  <c r="EK18"/>
  <c r="EK27"/>
  <c r="EK19"/>
  <c r="EK24"/>
  <c r="EN29"/>
  <c r="EN21"/>
  <c r="EN26"/>
  <c r="EN23"/>
  <c r="EN28"/>
  <c r="EN20"/>
  <c r="EQ27"/>
  <c r="EQ23"/>
  <c r="EQ19"/>
  <c r="EQ29"/>
  <c r="EQ25"/>
  <c r="EQ21"/>
  <c r="EQ30"/>
  <c r="EQ26"/>
  <c r="EQ18"/>
  <c r="EQ28"/>
  <c r="EQ24"/>
  <c r="EQ20"/>
  <c r="EQ22"/>
  <c r="EK29"/>
  <c r="EK21"/>
  <c r="EK26"/>
  <c r="EK23"/>
  <c r="EK28"/>
  <c r="EK20"/>
  <c r="EN25"/>
  <c r="EN30"/>
  <c r="EN18"/>
  <c r="EN27"/>
  <c r="EN19"/>
  <c r="EN24"/>
  <c r="ET27"/>
  <c r="ET23"/>
  <c r="ET29"/>
  <c r="ET25"/>
  <c r="ET21"/>
  <c r="ET30"/>
  <c r="ET26"/>
  <c r="ET18"/>
  <c r="ET28"/>
  <c r="ET24"/>
  <c r="ET20"/>
  <c r="EN22"/>
  <c r="O54" i="4"/>
  <c r="M6"/>
  <c r="O6" s="1"/>
  <c r="DP14" i="8"/>
  <c r="CZ14"/>
  <c r="DX14"/>
  <c r="DH14"/>
  <c r="D25" i="2"/>
  <c r="AI34" i="8" s="1"/>
  <c r="D49" i="2"/>
  <c r="BJ34" i="8" s="1"/>
  <c r="D34" i="2"/>
  <c r="AR38" i="8" s="1"/>
  <c r="D43" i="2"/>
  <c r="BA38" i="8" s="1"/>
  <c r="D33" i="2"/>
  <c r="AR34" i="8" s="1"/>
  <c r="D42" i="2"/>
  <c r="BA34" i="8" s="1"/>
  <c r="D26" i="2"/>
  <c r="AI38" i="8" s="1"/>
  <c r="D50" i="2"/>
  <c r="BJ38" i="8" s="1"/>
  <c r="CL18"/>
  <c r="CM18" s="1"/>
  <c r="BT22"/>
  <c r="CL21"/>
  <c r="CM21" s="1"/>
  <c r="BT30"/>
  <c r="BT21"/>
  <c r="BU21" s="1"/>
  <c r="CG42"/>
  <c r="CH33"/>
  <c r="CI29" s="1"/>
  <c r="ET19" l="1"/>
  <c r="ET32" s="1"/>
  <c r="ET22"/>
  <c r="EK22"/>
  <c r="BV30"/>
  <c r="BU30"/>
  <c r="BV22"/>
  <c r="BU22"/>
  <c r="FP24"/>
  <c r="FN18"/>
  <c r="FO18" s="1"/>
  <c r="FP23"/>
  <c r="FP19"/>
  <c r="DJ26"/>
  <c r="DN26"/>
  <c r="DL26"/>
  <c r="DF26"/>
  <c r="DB26"/>
  <c r="DD26"/>
  <c r="ED26"/>
  <c r="DZ26"/>
  <c r="EB26"/>
  <c r="DR26"/>
  <c r="DV26"/>
  <c r="DT26"/>
  <c r="CI26"/>
  <c r="EV33"/>
  <c r="EX19" s="1"/>
  <c r="CN18"/>
  <c r="EU33"/>
  <c r="FN20"/>
  <c r="FO20" s="1"/>
  <c r="FN22"/>
  <c r="FO22" s="1"/>
  <c r="FN28"/>
  <c r="FO28" s="1"/>
  <c r="FN30"/>
  <c r="FO30" s="1"/>
  <c r="DJ20"/>
  <c r="DN28"/>
  <c r="DL28"/>
  <c r="DL23"/>
  <c r="DL29"/>
  <c r="DJ24"/>
  <c r="DN19"/>
  <c r="DJ19"/>
  <c r="DL27"/>
  <c r="DJ25"/>
  <c r="DN20"/>
  <c r="DL20"/>
  <c r="DJ28"/>
  <c r="DN23"/>
  <c r="DJ23"/>
  <c r="DN29"/>
  <c r="DJ29"/>
  <c r="DN24"/>
  <c r="DL24"/>
  <c r="DL19"/>
  <c r="DN27"/>
  <c r="DJ27"/>
  <c r="DL25"/>
  <c r="DN25"/>
  <c r="DF20"/>
  <c r="DB20"/>
  <c r="DD28"/>
  <c r="DF23"/>
  <c r="DD23"/>
  <c r="DF29"/>
  <c r="DD29"/>
  <c r="DF24"/>
  <c r="DB24"/>
  <c r="DB19"/>
  <c r="DF27"/>
  <c r="DD27"/>
  <c r="DD20"/>
  <c r="DF28"/>
  <c r="DB28"/>
  <c r="DB23"/>
  <c r="DB29"/>
  <c r="DD24"/>
  <c r="DF19"/>
  <c r="DD19"/>
  <c r="DB27"/>
  <c r="DF25"/>
  <c r="DD25"/>
  <c r="DB25"/>
  <c r="ED20"/>
  <c r="DZ20"/>
  <c r="EB28"/>
  <c r="EB19"/>
  <c r="ED27"/>
  <c r="DZ27"/>
  <c r="EB25"/>
  <c r="ED24"/>
  <c r="DZ24"/>
  <c r="EB23"/>
  <c r="ED29"/>
  <c r="EB20"/>
  <c r="ED28"/>
  <c r="DZ28"/>
  <c r="ED19"/>
  <c r="DZ19"/>
  <c r="EB27"/>
  <c r="ED25"/>
  <c r="DZ25"/>
  <c r="EB24"/>
  <c r="ED23"/>
  <c r="DZ23"/>
  <c r="DZ29"/>
  <c r="EB29"/>
  <c r="DR20"/>
  <c r="DV28"/>
  <c r="DT28"/>
  <c r="DV19"/>
  <c r="DT19"/>
  <c r="DR27"/>
  <c r="DV25"/>
  <c r="DT25"/>
  <c r="DR24"/>
  <c r="DV23"/>
  <c r="DT23"/>
  <c r="DT29"/>
  <c r="DV20"/>
  <c r="DT20"/>
  <c r="DR28"/>
  <c r="DR19"/>
  <c r="DV27"/>
  <c r="DT27"/>
  <c r="DR25"/>
  <c r="DV24"/>
  <c r="DT24"/>
  <c r="DR23"/>
  <c r="DV29"/>
  <c r="DR29"/>
  <c r="EN32"/>
  <c r="EQ32"/>
  <c r="EK32"/>
  <c r="CI22"/>
  <c r="AR18"/>
  <c r="AR25"/>
  <c r="AR30"/>
  <c r="AR24"/>
  <c r="AR19"/>
  <c r="AR27"/>
  <c r="AR29"/>
  <c r="AR20"/>
  <c r="AR23"/>
  <c r="AR21"/>
  <c r="AR22"/>
  <c r="AR28"/>
  <c r="AR26"/>
  <c r="AI20"/>
  <c r="AI23"/>
  <c r="AI19"/>
  <c r="AI28"/>
  <c r="AI30"/>
  <c r="AI22"/>
  <c r="AI26"/>
  <c r="AI21"/>
  <c r="AI24"/>
  <c r="AI27"/>
  <c r="AI18"/>
  <c r="AI25"/>
  <c r="AI29"/>
  <c r="BA30"/>
  <c r="BA20"/>
  <c r="BA27"/>
  <c r="BA28"/>
  <c r="BA23"/>
  <c r="BA22"/>
  <c r="BA21"/>
  <c r="BA29"/>
  <c r="BA18"/>
  <c r="BA25"/>
  <c r="BA24"/>
  <c r="BA19"/>
  <c r="BA26"/>
  <c r="BJ24"/>
  <c r="BJ27"/>
  <c r="BJ26"/>
  <c r="BJ29"/>
  <c r="BJ20"/>
  <c r="BJ19"/>
  <c r="BJ25"/>
  <c r="BJ22"/>
  <c r="BJ28"/>
  <c r="BJ18"/>
  <c r="BJ30"/>
  <c r="BJ23"/>
  <c r="BJ21"/>
  <c r="CN21"/>
  <c r="CN22"/>
  <c r="CN30"/>
  <c r="BV18"/>
  <c r="BV21"/>
  <c r="CI25"/>
  <c r="CI19"/>
  <c r="CI28"/>
  <c r="CI23"/>
  <c r="CI20"/>
  <c r="CI27"/>
  <c r="CI24"/>
  <c r="FP20" l="1"/>
  <c r="FP28"/>
  <c r="BT28"/>
  <c r="BU28" s="1"/>
  <c r="EY20"/>
  <c r="FA25"/>
  <c r="CL26"/>
  <c r="CM26" s="1"/>
  <c r="BT26"/>
  <c r="BU26" s="1"/>
  <c r="EX28"/>
  <c r="EX20"/>
  <c r="EX29"/>
  <c r="EX22"/>
  <c r="EX18"/>
  <c r="EW29"/>
  <c r="EX27"/>
  <c r="EX25"/>
  <c r="EX26"/>
  <c r="EX23"/>
  <c r="EX24"/>
  <c r="EW19"/>
  <c r="EW22"/>
  <c r="EY30"/>
  <c r="EY21"/>
  <c r="EY29"/>
  <c r="EX30"/>
  <c r="EX21"/>
  <c r="EW18"/>
  <c r="EY26"/>
  <c r="EY27"/>
  <c r="EY23"/>
  <c r="EY25"/>
  <c r="EY24"/>
  <c r="EY19"/>
  <c r="EY18"/>
  <c r="EY28"/>
  <c r="EY22"/>
  <c r="CL24"/>
  <c r="CM24" s="1"/>
  <c r="EW30"/>
  <c r="EW21"/>
  <c r="EW28"/>
  <c r="EW20"/>
  <c r="EW24"/>
  <c r="EW27"/>
  <c r="EW26"/>
  <c r="EW25"/>
  <c r="EW23"/>
  <c r="CL20"/>
  <c r="CM20" s="1"/>
  <c r="BT24"/>
  <c r="BU24" s="1"/>
  <c r="CL23"/>
  <c r="CM23" s="1"/>
  <c r="CL19"/>
  <c r="CM19" s="1"/>
  <c r="CL28"/>
  <c r="BT25"/>
  <c r="BU25" s="1"/>
  <c r="BT29"/>
  <c r="BU29" s="1"/>
  <c r="BT23"/>
  <c r="BU23" s="1"/>
  <c r="CL29"/>
  <c r="CM29" s="1"/>
  <c r="CL27"/>
  <c r="CM27" s="1"/>
  <c r="CL25"/>
  <c r="CM25" s="1"/>
  <c r="BT19"/>
  <c r="BU19" s="1"/>
  <c r="BT27"/>
  <c r="BU27" s="1"/>
  <c r="BT20"/>
  <c r="BU20" s="1"/>
  <c r="M28" i="4"/>
  <c r="BJ41" i="8"/>
  <c r="BA41"/>
  <c r="AR41"/>
  <c r="AI41"/>
  <c r="CH34"/>
  <c r="CM28" l="1"/>
  <c r="CN28"/>
  <c r="BV28"/>
  <c r="CN26"/>
  <c r="EX31"/>
  <c r="EX35" s="1"/>
  <c r="BV26"/>
  <c r="EW31"/>
  <c r="EW35" s="1"/>
  <c r="EY33" s="1"/>
  <c r="EZ20" s="1"/>
  <c r="CN24"/>
  <c r="CN20"/>
  <c r="BV24"/>
  <c r="BV20"/>
  <c r="BV19"/>
  <c r="CN27"/>
  <c r="BV29"/>
  <c r="CN23"/>
  <c r="BV27"/>
  <c r="CN25"/>
  <c r="CN29"/>
  <c r="BV23"/>
  <c r="BV25"/>
  <c r="CN19"/>
  <c r="FP33"/>
  <c r="AV22"/>
  <c r="BN22"/>
  <c r="AM22"/>
  <c r="BE22"/>
  <c r="AK18"/>
  <c r="AT22"/>
  <c r="AT28"/>
  <c r="AS25"/>
  <c r="AT25"/>
  <c r="AS26"/>
  <c r="AS29"/>
  <c r="AS18"/>
  <c r="AT19"/>
  <c r="AT21"/>
  <c r="AS22"/>
  <c r="AS28"/>
  <c r="AT26"/>
  <c r="AT20"/>
  <c r="AS23"/>
  <c r="AT24"/>
  <c r="AS27"/>
  <c r="AT30"/>
  <c r="AS24"/>
  <c r="AT27"/>
  <c r="AS30"/>
  <c r="AS21"/>
  <c r="AS19"/>
  <c r="AT29"/>
  <c r="AT18"/>
  <c r="AS20"/>
  <c r="AT23"/>
  <c r="BK18"/>
  <c r="BK26"/>
  <c r="BL19"/>
  <c r="BK29"/>
  <c r="BL24"/>
  <c r="BK27"/>
  <c r="BL20"/>
  <c r="BK28"/>
  <c r="BK25"/>
  <c r="BL21"/>
  <c r="BL23"/>
  <c r="BK30"/>
  <c r="BK20"/>
  <c r="BL29"/>
  <c r="BK24"/>
  <c r="BL27"/>
  <c r="BL26"/>
  <c r="BK19"/>
  <c r="BL18"/>
  <c r="BL25"/>
  <c r="BK21"/>
  <c r="BL22"/>
  <c r="BL28"/>
  <c r="BL30"/>
  <c r="BK23"/>
  <c r="BK22"/>
  <c r="AJ29"/>
  <c r="AK19"/>
  <c r="AJ19"/>
  <c r="AJ24"/>
  <c r="AK26"/>
  <c r="AK24"/>
  <c r="AJ28"/>
  <c r="AJ23"/>
  <c r="AK29"/>
  <c r="AK21"/>
  <c r="AK27"/>
  <c r="AJ26"/>
  <c r="AJ18"/>
  <c r="AJ21"/>
  <c r="AJ27"/>
  <c r="AK25"/>
  <c r="AJ22"/>
  <c r="AJ20"/>
  <c r="AK23"/>
  <c r="AK30"/>
  <c r="AK28"/>
  <c r="AJ30"/>
  <c r="AK22"/>
  <c r="AK20"/>
  <c r="AJ25"/>
  <c r="BB18"/>
  <c r="BC18"/>
  <c r="BC22"/>
  <c r="BC28"/>
  <c r="BC26"/>
  <c r="BB29"/>
  <c r="BB19"/>
  <c r="BC30"/>
  <c r="BC23"/>
  <c r="BC21"/>
  <c r="BC27"/>
  <c r="BB25"/>
  <c r="BC25"/>
  <c r="BB30"/>
  <c r="BC20"/>
  <c r="BB23"/>
  <c r="BB21"/>
  <c r="BC24"/>
  <c r="BB27"/>
  <c r="BB22"/>
  <c r="BB28"/>
  <c r="BB26"/>
  <c r="BC29"/>
  <c r="BC19"/>
  <c r="BB20"/>
  <c r="BB24"/>
  <c r="CH36"/>
  <c r="S41" i="17" s="1"/>
  <c r="CH37" i="8"/>
  <c r="CH35"/>
  <c r="FA22" l="1"/>
  <c r="S38" i="17"/>
  <c r="P31"/>
  <c r="S31" s="1"/>
  <c r="FA29" i="8"/>
  <c r="FA24"/>
  <c r="FA28"/>
  <c r="FA23"/>
  <c r="FA27"/>
  <c r="EZ18"/>
  <c r="FR19"/>
  <c r="FR21"/>
  <c r="FR23"/>
  <c r="FR25"/>
  <c r="FR27"/>
  <c r="FR29"/>
  <c r="FR18"/>
  <c r="FR20"/>
  <c r="FR22"/>
  <c r="FR24"/>
  <c r="FR26"/>
  <c r="FR28"/>
  <c r="FR30"/>
  <c r="CN33"/>
  <c r="CO29" s="1"/>
  <c r="EZ21"/>
  <c r="EZ24"/>
  <c r="EZ27"/>
  <c r="EZ25"/>
  <c r="EZ22"/>
  <c r="EZ28"/>
  <c r="EZ23"/>
  <c r="EZ30"/>
  <c r="EZ19"/>
  <c r="EZ29"/>
  <c r="EZ26"/>
  <c r="BV33"/>
  <c r="FQ22"/>
  <c r="FQ18"/>
  <c r="FQ27"/>
  <c r="FQ23"/>
  <c r="FQ26"/>
  <c r="FQ30"/>
  <c r="FQ20"/>
  <c r="FQ29"/>
  <c r="FQ28"/>
  <c r="FQ19"/>
  <c r="FQ24"/>
  <c r="FQ21"/>
  <c r="FQ25"/>
  <c r="BC33"/>
  <c r="AJ31"/>
  <c r="AJ34" s="1"/>
  <c r="AK36" s="1"/>
  <c r="AM26" s="1"/>
  <c r="BL33"/>
  <c r="BK31"/>
  <c r="BK34" s="1"/>
  <c r="BL36" s="1"/>
  <c r="BN29" s="1"/>
  <c r="AS31"/>
  <c r="AS34" s="1"/>
  <c r="AT36" s="1"/>
  <c r="AV29" s="1"/>
  <c r="AK33"/>
  <c r="BB31"/>
  <c r="BB34" s="1"/>
  <c r="BC36" s="1"/>
  <c r="BD29" s="1"/>
  <c r="AT33"/>
  <c r="B24" i="3"/>
  <c r="P24"/>
  <c r="S24" s="1"/>
  <c r="B22"/>
  <c r="P22"/>
  <c r="CP25" i="8" l="1"/>
  <c r="AU20"/>
  <c r="AU26"/>
  <c r="AU28"/>
  <c r="AU18"/>
  <c r="AU27"/>
  <c r="AU25"/>
  <c r="CO25"/>
  <c r="AU19"/>
  <c r="AU29"/>
  <c r="AU30"/>
  <c r="AU24"/>
  <c r="AU23"/>
  <c r="AU22"/>
  <c r="AU21"/>
  <c r="CO21"/>
  <c r="CP18"/>
  <c r="CO20"/>
  <c r="CP30"/>
  <c r="CP22"/>
  <c r="CP20"/>
  <c r="CP29"/>
  <c r="CO19"/>
  <c r="CO26"/>
  <c r="CO30"/>
  <c r="CP21"/>
  <c r="CP27"/>
  <c r="CP19"/>
  <c r="CO18"/>
  <c r="CP28"/>
  <c r="CO27"/>
  <c r="CP23"/>
  <c r="CO22"/>
  <c r="CO23"/>
  <c r="CP26"/>
  <c r="CO24"/>
  <c r="CO28"/>
  <c r="BN26"/>
  <c r="CP24"/>
  <c r="EZ31"/>
  <c r="EZ35" s="1"/>
  <c r="BW23"/>
  <c r="BX18"/>
  <c r="BW18"/>
  <c r="BX23"/>
  <c r="FR33"/>
  <c r="FS25" s="1"/>
  <c r="BW27"/>
  <c r="BW25"/>
  <c r="BW22"/>
  <c r="BX21"/>
  <c r="BX22"/>
  <c r="BX25"/>
  <c r="BW20"/>
  <c r="BX20"/>
  <c r="BW28"/>
  <c r="BX19"/>
  <c r="BX26"/>
  <c r="BW30"/>
  <c r="BW29"/>
  <c r="BW21"/>
  <c r="BX30"/>
  <c r="BX29"/>
  <c r="BW24"/>
  <c r="BX24"/>
  <c r="BW26"/>
  <c r="BX28"/>
  <c r="BW19"/>
  <c r="FQ31"/>
  <c r="FQ34" s="1"/>
  <c r="FR36" s="1"/>
  <c r="FT22" s="1"/>
  <c r="BX27"/>
  <c r="AV27"/>
  <c r="BN24"/>
  <c r="BN23"/>
  <c r="AV23"/>
  <c r="BN25"/>
  <c r="AV28"/>
  <c r="BN27"/>
  <c r="AV24"/>
  <c r="BN28"/>
  <c r="AM27"/>
  <c r="AM19"/>
  <c r="BZ28"/>
  <c r="BZ27"/>
  <c r="BZ23"/>
  <c r="BZ24"/>
  <c r="BE27"/>
  <c r="AM23"/>
  <c r="BE28"/>
  <c r="CR27"/>
  <c r="AM25"/>
  <c r="CR28"/>
  <c r="AM29"/>
  <c r="AM28"/>
  <c r="BE24"/>
  <c r="AM24"/>
  <c r="BE23"/>
  <c r="BE29"/>
  <c r="AL21"/>
  <c r="AL30"/>
  <c r="AL20"/>
  <c r="AL28"/>
  <c r="AL24"/>
  <c r="AL25"/>
  <c r="AL27"/>
  <c r="AL23"/>
  <c r="AL29"/>
  <c r="AL18"/>
  <c r="AL19"/>
  <c r="AL26"/>
  <c r="AL22"/>
  <c r="BD21"/>
  <c r="BD27"/>
  <c r="BD20"/>
  <c r="BD19"/>
  <c r="BD22"/>
  <c r="BD28"/>
  <c r="BD25"/>
  <c r="BD24"/>
  <c r="BD26"/>
  <c r="BD23"/>
  <c r="BD30"/>
  <c r="BD18"/>
  <c r="BM18"/>
  <c r="BM21"/>
  <c r="BM27"/>
  <c r="BM26"/>
  <c r="BM19"/>
  <c r="BM25"/>
  <c r="BM28"/>
  <c r="BM23"/>
  <c r="BM24"/>
  <c r="BM20"/>
  <c r="BM29"/>
  <c r="BM30"/>
  <c r="BM22"/>
  <c r="S22" i="3"/>
  <c r="P16"/>
  <c r="S16" s="1"/>
  <c r="FA20" i="8" l="1"/>
  <c r="FA19"/>
  <c r="AU31"/>
  <c r="AU34" s="1"/>
  <c r="AV19" s="1"/>
  <c r="AV26"/>
  <c r="CP33"/>
  <c r="CQ18" s="1"/>
  <c r="CO31"/>
  <c r="CO34" s="1"/>
  <c r="CP36" s="1"/>
  <c r="FS18"/>
  <c r="FS30"/>
  <c r="BX33"/>
  <c r="BY30" s="1"/>
  <c r="FS28"/>
  <c r="FS20"/>
  <c r="FS29"/>
  <c r="FS27"/>
  <c r="FS22"/>
  <c r="FS24"/>
  <c r="FS23"/>
  <c r="BW31"/>
  <c r="BW34" s="1"/>
  <c r="BX36" s="1"/>
  <c r="BZ22" s="1"/>
  <c r="FS21"/>
  <c r="FS26"/>
  <c r="FS19"/>
  <c r="AV25"/>
  <c r="BD31"/>
  <c r="BD34" s="1"/>
  <c r="BM31"/>
  <c r="BM34" s="1"/>
  <c r="AL31"/>
  <c r="AL34" s="1"/>
  <c r="AM20" s="1"/>
  <c r="AN25" s="1"/>
  <c r="AV20" l="1"/>
  <c r="AW24" s="1"/>
  <c r="L32" i="2" s="1"/>
  <c r="BZ25" i="8"/>
  <c r="BZ29"/>
  <c r="CR29"/>
  <c r="CR23"/>
  <c r="CR24"/>
  <c r="CQ20"/>
  <c r="AW19"/>
  <c r="F32" i="2" s="1"/>
  <c r="FB22" i="8"/>
  <c r="FE22" s="1"/>
  <c r="N42" i="3" s="1"/>
  <c r="FB23" i="8"/>
  <c r="FB18"/>
  <c r="FD18" s="1"/>
  <c r="AW18"/>
  <c r="E32" i="2" s="1"/>
  <c r="AW20" i="8"/>
  <c r="G32" i="2" s="1"/>
  <c r="FB25" i="8"/>
  <c r="BY29"/>
  <c r="AW25"/>
  <c r="N32" i="2" s="1"/>
  <c r="BY22" i="8"/>
  <c r="BY28"/>
  <c r="BY25"/>
  <c r="FB21"/>
  <c r="FE21" s="1"/>
  <c r="M42" i="3" s="1"/>
  <c r="FB24" i="8"/>
  <c r="FB19"/>
  <c r="FE19" s="1"/>
  <c r="K42" i="3" s="1"/>
  <c r="FB20" i="8"/>
  <c r="FC20" s="1"/>
  <c r="CR22"/>
  <c r="BY19"/>
  <c r="AW23"/>
  <c r="K32" i="2" s="1"/>
  <c r="BY23" i="8"/>
  <c r="BY26"/>
  <c r="BY24"/>
  <c r="BY21"/>
  <c r="BY20"/>
  <c r="BY27"/>
  <c r="BZ26"/>
  <c r="BE25"/>
  <c r="BE26"/>
  <c r="CQ26"/>
  <c r="CQ19"/>
  <c r="CQ21"/>
  <c r="CQ30"/>
  <c r="CQ29"/>
  <c r="CQ23"/>
  <c r="CQ25"/>
  <c r="CQ27"/>
  <c r="CQ28"/>
  <c r="CQ22"/>
  <c r="CQ24"/>
  <c r="BY18"/>
  <c r="FC18"/>
  <c r="J39" i="3"/>
  <c r="FE18" i="8"/>
  <c r="J42" i="3" s="1"/>
  <c r="FF23" i="8"/>
  <c r="O43" i="3" s="1"/>
  <c r="O39"/>
  <c r="FC23" i="8"/>
  <c r="FF25"/>
  <c r="R43" i="3" s="1"/>
  <c r="FC21" i="8"/>
  <c r="FD24"/>
  <c r="K39" i="3"/>
  <c r="FC19" i="8"/>
  <c r="FF19"/>
  <c r="K43" i="3" s="1"/>
  <c r="FS31" i="8"/>
  <c r="FS34" s="1"/>
  <c r="BN19"/>
  <c r="BN20"/>
  <c r="AN23"/>
  <c r="K24" i="2" s="1"/>
  <c r="AN18" i="8"/>
  <c r="AO18" s="1"/>
  <c r="E25" i="2" s="1"/>
  <c r="AN20" i="8"/>
  <c r="AP20" s="1"/>
  <c r="G26" i="2" s="1"/>
  <c r="AN21" i="8"/>
  <c r="AP21" s="1"/>
  <c r="H26" i="2" s="1"/>
  <c r="AN19" i="8"/>
  <c r="AO19" s="1"/>
  <c r="F25" i="2" s="1"/>
  <c r="AN24" i="8"/>
  <c r="AP24" s="1"/>
  <c r="L26" i="2" s="1"/>
  <c r="AN22" i="8"/>
  <c r="AP22" s="1"/>
  <c r="I26" i="2" s="1"/>
  <c r="AP25" i="8"/>
  <c r="N26" i="2" s="1"/>
  <c r="N24"/>
  <c r="AO25" i="8"/>
  <c r="N25" i="2" s="1"/>
  <c r="N27" s="1"/>
  <c r="BE19" i="8"/>
  <c r="BE20"/>
  <c r="FC22" l="1"/>
  <c r="AX25"/>
  <c r="N33" i="2" s="1"/>
  <c r="AX20" i="8"/>
  <c r="G33" i="2" s="1"/>
  <c r="M39" i="3"/>
  <c r="FF21" i="8"/>
  <c r="M43" i="3" s="1"/>
  <c r="FF22" i="8"/>
  <c r="N43" i="3" s="1"/>
  <c r="AX23" i="8"/>
  <c r="K33" i="2" s="1"/>
  <c r="AY25" i="8"/>
  <c r="N34" i="2" s="1"/>
  <c r="N35" s="1"/>
  <c r="AY20" i="8"/>
  <c r="G34" i="2" s="1"/>
  <c r="FD21" i="8"/>
  <c r="M40" i="3" s="1"/>
  <c r="N39"/>
  <c r="FD22" i="8"/>
  <c r="N40" i="3" s="1"/>
  <c r="AW21" i="8"/>
  <c r="AW22"/>
  <c r="FD19"/>
  <c r="FF18"/>
  <c r="J43" i="3" s="1"/>
  <c r="L41"/>
  <c r="Q40" i="9"/>
  <c r="Q10"/>
  <c r="Q40" i="10"/>
  <c r="Q10"/>
  <c r="P40" i="3"/>
  <c r="O44" i="9"/>
  <c r="O14"/>
  <c r="O44" i="10"/>
  <c r="O14"/>
  <c r="O41" i="9"/>
  <c r="O11"/>
  <c r="O41" i="10"/>
  <c r="M41" i="3"/>
  <c r="Q41" i="10"/>
  <c r="Q11"/>
  <c r="Q41" i="9"/>
  <c r="Q11"/>
  <c r="N41" i="3"/>
  <c r="Q42" i="9"/>
  <c r="Q12"/>
  <c r="Q42" i="10"/>
  <c r="Q12"/>
  <c r="O12" i="9"/>
  <c r="O42" i="10"/>
  <c r="J41" i="3"/>
  <c r="Q38" i="9"/>
  <c r="Q8"/>
  <c r="Q38" i="10"/>
  <c r="Q8"/>
  <c r="M39" i="9"/>
  <c r="M9"/>
  <c r="M39" i="10"/>
  <c r="M9"/>
  <c r="FH19" i="8"/>
  <c r="FG19"/>
  <c r="M41" i="9"/>
  <c r="M11"/>
  <c r="M41" i="10"/>
  <c r="M11"/>
  <c r="FH21" i="8"/>
  <c r="FG21"/>
  <c r="M38" i="9"/>
  <c r="M8"/>
  <c r="FH18" i="8"/>
  <c r="M38" i="10"/>
  <c r="M8"/>
  <c r="FG18" i="8"/>
  <c r="M42" i="9"/>
  <c r="M12"/>
  <c r="FG22" i="8"/>
  <c r="M42" i="10"/>
  <c r="M12"/>
  <c r="FH22" i="8"/>
  <c r="K40" i="3"/>
  <c r="O39" i="9"/>
  <c r="O9"/>
  <c r="O39" i="10"/>
  <c r="O9"/>
  <c r="K41" i="3"/>
  <c r="Q39" i="10"/>
  <c r="Q9"/>
  <c r="Q39" i="9"/>
  <c r="Q9"/>
  <c r="O41" i="3"/>
  <c r="Q43" i="10"/>
  <c r="Q13"/>
  <c r="Q43" i="9"/>
  <c r="Q13"/>
  <c r="J40" i="3"/>
  <c r="O38" i="9"/>
  <c r="O8"/>
  <c r="O38" i="10"/>
  <c r="O8"/>
  <c r="FD20" i="8"/>
  <c r="M40" i="9"/>
  <c r="M10"/>
  <c r="FG20" i="8"/>
  <c r="M40" i="10"/>
  <c r="M10"/>
  <c r="FH20" i="8"/>
  <c r="FF24"/>
  <c r="P43" i="3" s="1"/>
  <c r="M44" i="9"/>
  <c r="M14"/>
  <c r="FG24" i="8"/>
  <c r="M44" i="10"/>
  <c r="M14"/>
  <c r="FH24" i="8"/>
  <c r="R39" i="3"/>
  <c r="M45" i="9"/>
  <c r="M15"/>
  <c r="M45" i="10"/>
  <c r="M15"/>
  <c r="FH25" i="8"/>
  <c r="FG25"/>
  <c r="FE23"/>
  <c r="O42" i="3" s="1"/>
  <c r="M43" i="9"/>
  <c r="M13"/>
  <c r="M43" i="10"/>
  <c r="M13"/>
  <c r="FH23" i="8"/>
  <c r="FG23"/>
  <c r="AX18"/>
  <c r="E33" i="2" s="1"/>
  <c r="E24"/>
  <c r="AO21" i="8"/>
  <c r="H25" i="2" s="1"/>
  <c r="AP18" i="8"/>
  <c r="E26" i="2" s="1"/>
  <c r="L24"/>
  <c r="BO19" i="8"/>
  <c r="BP19" s="1"/>
  <c r="F49" i="2" s="1"/>
  <c r="FF20" i="8"/>
  <c r="L43" i="3" s="1"/>
  <c r="FE24" i="8"/>
  <c r="P42" i="3" s="1"/>
  <c r="FC25" i="8"/>
  <c r="BF21"/>
  <c r="H41" i="2" s="1"/>
  <c r="BO23" i="8"/>
  <c r="AX24"/>
  <c r="L33" i="2" s="1"/>
  <c r="AX19" i="8"/>
  <c r="F33" i="2" s="1"/>
  <c r="H24"/>
  <c r="FE20" i="8"/>
  <c r="L42" i="3" s="1"/>
  <c r="L39"/>
  <c r="P39"/>
  <c r="FC24" i="8"/>
  <c r="FE25"/>
  <c r="R42" i="3" s="1"/>
  <c r="FD25" i="8"/>
  <c r="FD23"/>
  <c r="BY31"/>
  <c r="BY34" s="1"/>
  <c r="BZ19" s="1"/>
  <c r="BO22"/>
  <c r="AY24"/>
  <c r="L34" i="2" s="1"/>
  <c r="L35" s="1"/>
  <c r="AY23" i="8"/>
  <c r="K34" i="2" s="1"/>
  <c r="AY19" i="8"/>
  <c r="F34" i="2" s="1"/>
  <c r="AY18" i="8"/>
  <c r="E34" i="2" s="1"/>
  <c r="BO20" i="8"/>
  <c r="G48" i="2" s="1"/>
  <c r="G24"/>
  <c r="AP23" i="8"/>
  <c r="K26" i="2" s="1"/>
  <c r="AO20" i="8"/>
  <c r="G25" i="2" s="1"/>
  <c r="AO23" i="8"/>
  <c r="K25" i="2" s="1"/>
  <c r="F24"/>
  <c r="BO24" i="8"/>
  <c r="L48" i="2" s="1"/>
  <c r="CQ31" i="8"/>
  <c r="CQ34" s="1"/>
  <c r="CR20" s="1"/>
  <c r="BF25"/>
  <c r="BG25" s="1"/>
  <c r="N42" i="2" s="1"/>
  <c r="I24"/>
  <c r="FT20" i="8"/>
  <c r="FT29"/>
  <c r="FT27"/>
  <c r="FT28"/>
  <c r="FT23"/>
  <c r="FT19"/>
  <c r="FT24"/>
  <c r="CR19"/>
  <c r="FT25"/>
  <c r="FT26"/>
  <c r="BO21"/>
  <c r="H48" i="2" s="1"/>
  <c r="BO18" i="8"/>
  <c r="BP18" s="1"/>
  <c r="E49" i="2" s="1"/>
  <c r="BO25" i="8"/>
  <c r="BP25" s="1"/>
  <c r="N49" i="2" s="1"/>
  <c r="AP19" i="8"/>
  <c r="F26" i="2" s="1"/>
  <c r="F27" s="1"/>
  <c r="AO24" i="8"/>
  <c r="L25" i="2" s="1"/>
  <c r="L27" s="1"/>
  <c r="BF20" i="8"/>
  <c r="BH20" s="1"/>
  <c r="G43" i="2" s="1"/>
  <c r="BF23" i="8"/>
  <c r="K41" i="2" s="1"/>
  <c r="BF18" i="8"/>
  <c r="E41" i="2" s="1"/>
  <c r="BF19" i="8"/>
  <c r="F41" i="2" s="1"/>
  <c r="BF22" i="8"/>
  <c r="I41" i="2" s="1"/>
  <c r="BF24" i="8"/>
  <c r="L41" i="2" s="1"/>
  <c r="AO22" i="8"/>
  <c r="I25" i="2" s="1"/>
  <c r="I27" s="1"/>
  <c r="H27"/>
  <c r="G27"/>
  <c r="E27"/>
  <c r="K48"/>
  <c r="BP23" i="8"/>
  <c r="K49" i="2" s="1"/>
  <c r="BQ23" i="8"/>
  <c r="K50" i="2" s="1"/>
  <c r="I48"/>
  <c r="BQ22" i="8"/>
  <c r="I50" i="2" s="1"/>
  <c r="BP22" i="8"/>
  <c r="I49" i="2" s="1"/>
  <c r="E35"/>
  <c r="K35"/>
  <c r="G35" l="1"/>
  <c r="P35" i="3"/>
  <c r="H32" i="2"/>
  <c r="AX21" i="8"/>
  <c r="H33" i="2" s="1"/>
  <c r="AY21" i="8"/>
  <c r="H34" i="2" s="1"/>
  <c r="BQ19" i="8"/>
  <c r="F50" i="2" s="1"/>
  <c r="K27"/>
  <c r="O42" i="9"/>
  <c r="O11" i="10"/>
  <c r="O12"/>
  <c r="I32" i="2"/>
  <c r="AY22" i="8"/>
  <c r="I34" i="2" s="1"/>
  <c r="AX22" i="8"/>
  <c r="I33" i="2" s="1"/>
  <c r="I35" s="1"/>
  <c r="N48"/>
  <c r="BP21" i="8"/>
  <c r="H49" i="2" s="1"/>
  <c r="BQ25" i="8"/>
  <c r="N50" i="2" s="1"/>
  <c r="N51" s="1"/>
  <c r="P37" i="3"/>
  <c r="F48" i="2"/>
  <c r="BH21" i="8"/>
  <c r="H43" i="2" s="1"/>
  <c r="BZ20" i="8"/>
  <c r="CA21" s="1"/>
  <c r="M11" i="7" s="1"/>
  <c r="F35" i="2"/>
  <c r="R40" i="3"/>
  <c r="O45" i="9"/>
  <c r="O15"/>
  <c r="O45" i="10"/>
  <c r="O15"/>
  <c r="P41" i="3"/>
  <c r="Q44" i="9"/>
  <c r="Q14"/>
  <c r="Q44" i="10"/>
  <c r="R44" s="1"/>
  <c r="Q14"/>
  <c r="N13"/>
  <c r="N13" i="9"/>
  <c r="R13" i="10"/>
  <c r="N45"/>
  <c r="N45" i="9"/>
  <c r="P45" i="10"/>
  <c r="N44" i="9"/>
  <c r="N44" i="10"/>
  <c r="P44"/>
  <c r="R10"/>
  <c r="N10" i="9"/>
  <c r="N10" i="10"/>
  <c r="N42" i="9"/>
  <c r="N42" i="10"/>
  <c r="P42"/>
  <c r="R42"/>
  <c r="N8" i="9"/>
  <c r="N8" i="10"/>
  <c r="R38"/>
  <c r="P38"/>
  <c r="N11"/>
  <c r="N11" i="9"/>
  <c r="R11" i="10"/>
  <c r="P11"/>
  <c r="N9"/>
  <c r="N9" i="9"/>
  <c r="R9" i="10"/>
  <c r="P9"/>
  <c r="O40" i="3"/>
  <c r="O43" i="9"/>
  <c r="O13"/>
  <c r="O43" i="10"/>
  <c r="P43" s="1"/>
  <c r="O13"/>
  <c r="P13" s="1"/>
  <c r="R41" i="3"/>
  <c r="Q45" i="10"/>
  <c r="R45" s="1"/>
  <c r="Q15"/>
  <c r="R15" s="1"/>
  <c r="Q45" i="9"/>
  <c r="Q15"/>
  <c r="N43" i="10"/>
  <c r="N43" i="9"/>
  <c r="R43" i="10"/>
  <c r="N15"/>
  <c r="N15" i="9"/>
  <c r="P15" i="10"/>
  <c r="R14"/>
  <c r="P14"/>
  <c r="N14" i="9"/>
  <c r="N14" i="10"/>
  <c r="N40" i="9"/>
  <c r="N40" i="10"/>
  <c r="R40"/>
  <c r="L40" i="3"/>
  <c r="O40" i="9"/>
  <c r="O10"/>
  <c r="O40" i="10"/>
  <c r="P40" s="1"/>
  <c r="O10"/>
  <c r="P10" s="1"/>
  <c r="R12"/>
  <c r="P12"/>
  <c r="N12" i="9"/>
  <c r="N12" i="10"/>
  <c r="R8"/>
  <c r="P8"/>
  <c r="N38" i="9"/>
  <c r="N38" i="10"/>
  <c r="N41"/>
  <c r="N41" i="9"/>
  <c r="R41" i="10"/>
  <c r="P41"/>
  <c r="N39"/>
  <c r="N39" i="9"/>
  <c r="P39" i="10"/>
  <c r="R39"/>
  <c r="M11" i="6"/>
  <c r="P11" s="1"/>
  <c r="G41" i="2"/>
  <c r="BQ20" i="8"/>
  <c r="G50" i="2" s="1"/>
  <c r="BG20" i="8"/>
  <c r="G42" i="2" s="1"/>
  <c r="G44" s="1"/>
  <c r="BG21" i="8"/>
  <c r="H42" i="2" s="1"/>
  <c r="BG24" i="8"/>
  <c r="L42" i="2" s="1"/>
  <c r="BH19" i="8"/>
  <c r="F43" i="2" s="1"/>
  <c r="FU18" i="8"/>
  <c r="FU19"/>
  <c r="FY19" s="1"/>
  <c r="BH25"/>
  <c r="N43" i="2" s="1"/>
  <c r="N44" s="1"/>
  <c r="N41"/>
  <c r="BQ21" i="8"/>
  <c r="H50" i="2" s="1"/>
  <c r="H51" s="1"/>
  <c r="BG19" i="8"/>
  <c r="F42" i="2" s="1"/>
  <c r="FU20" i="8"/>
  <c r="CA23"/>
  <c r="CC23" s="1"/>
  <c r="BP24"/>
  <c r="L49" i="2" s="1"/>
  <c r="BQ18" i="8"/>
  <c r="E50" i="2" s="1"/>
  <c r="FU24" i="8"/>
  <c r="CA20"/>
  <c r="L8" i="3" s="1"/>
  <c r="CA22" i="8"/>
  <c r="CD22" s="1"/>
  <c r="N11" i="3" s="1"/>
  <c r="CA19" i="8"/>
  <c r="K8" i="3" s="1"/>
  <c r="BH18" i="8"/>
  <c r="E43" i="2" s="1"/>
  <c r="BG22" i="8"/>
  <c r="I42" i="2" s="1"/>
  <c r="BP20" i="8"/>
  <c r="G49" i="2" s="1"/>
  <c r="BG23" i="8"/>
  <c r="K42" i="2" s="1"/>
  <c r="BQ24" i="8"/>
  <c r="L50" i="2" s="1"/>
  <c r="L51" s="1"/>
  <c r="E48"/>
  <c r="BH24" i="8"/>
  <c r="L43" i="2" s="1"/>
  <c r="L44" s="1"/>
  <c r="O8" i="3"/>
  <c r="CR26" i="8"/>
  <c r="CR25"/>
  <c r="FU21"/>
  <c r="FU25"/>
  <c r="FY25" s="1"/>
  <c r="FU23"/>
  <c r="FU22"/>
  <c r="FV22" s="1"/>
  <c r="BG18"/>
  <c r="E42" i="2" s="1"/>
  <c r="BH22" i="8"/>
  <c r="I43" i="2" s="1"/>
  <c r="I44" s="1"/>
  <c r="BH23" i="8"/>
  <c r="K43" i="2" s="1"/>
  <c r="P32" i="16"/>
  <c r="K32"/>
  <c r="FW19" i="8"/>
  <c r="FV19"/>
  <c r="CC21"/>
  <c r="CB21"/>
  <c r="M8" i="3"/>
  <c r="R32" i="16"/>
  <c r="N32"/>
  <c r="L22" i="2"/>
  <c r="O22" s="1"/>
  <c r="I51"/>
  <c r="F51"/>
  <c r="K51"/>
  <c r="E51"/>
  <c r="H44"/>
  <c r="F44" l="1"/>
  <c r="CD20" i="8"/>
  <c r="L11" i="3" s="1"/>
  <c r="CB23" i="8"/>
  <c r="G51" i="2"/>
  <c r="H35"/>
  <c r="L30" s="1"/>
  <c r="O30" s="1"/>
  <c r="FW25" i="8"/>
  <c r="Z50" i="16" s="1"/>
  <c r="CD21" i="8"/>
  <c r="M11" i="3" s="1"/>
  <c r="CA24" i="8"/>
  <c r="P8" i="3" s="1"/>
  <c r="FV25" i="8"/>
  <c r="X50" i="12" s="1"/>
  <c r="CB22" i="8"/>
  <c r="O12" i="7" s="1"/>
  <c r="CB20" i="8"/>
  <c r="CC20"/>
  <c r="Q10" i="7" s="1"/>
  <c r="CC22" i="8"/>
  <c r="Q12" i="6" s="1"/>
  <c r="K44" i="2"/>
  <c r="N8" i="3"/>
  <c r="CA18" i="8"/>
  <c r="M8" i="6" s="1"/>
  <c r="CA25" i="8"/>
  <c r="M15" i="6" s="1"/>
  <c r="P15" s="1"/>
  <c r="CE21" i="8"/>
  <c r="N11" i="6" s="1"/>
  <c r="Z44" i="16"/>
  <c r="Z44" i="12"/>
  <c r="O32" i="16"/>
  <c r="V48"/>
  <c r="V48" i="12"/>
  <c r="FX23" i="8"/>
  <c r="FW21"/>
  <c r="V46" i="16"/>
  <c r="V46" i="12"/>
  <c r="FX21" i="8"/>
  <c r="FY24"/>
  <c r="V49" i="16"/>
  <c r="V49" i="12"/>
  <c r="FX24" i="8"/>
  <c r="L33" i="12"/>
  <c r="V45" i="16"/>
  <c r="V45" i="12"/>
  <c r="FX20" i="8"/>
  <c r="J33" i="12"/>
  <c r="V43" i="16"/>
  <c r="V43" i="12"/>
  <c r="FX18" i="8"/>
  <c r="X47" i="16"/>
  <c r="X47" i="12"/>
  <c r="X50" i="16"/>
  <c r="X44"/>
  <c r="X44" i="12"/>
  <c r="V47" i="16"/>
  <c r="V47" i="12"/>
  <c r="FX22" i="8"/>
  <c r="R33" i="12"/>
  <c r="V50" i="16"/>
  <c r="V50" i="12"/>
  <c r="FX25" i="8"/>
  <c r="K33" i="12"/>
  <c r="V44" i="16"/>
  <c r="V44" i="12"/>
  <c r="FX19" i="8"/>
  <c r="O11" i="6"/>
  <c r="Q11"/>
  <c r="R11" s="1"/>
  <c r="Q13"/>
  <c r="M9"/>
  <c r="P9" s="1"/>
  <c r="M14"/>
  <c r="P14" s="1"/>
  <c r="O10"/>
  <c r="O13"/>
  <c r="M12"/>
  <c r="P12" s="1"/>
  <c r="M10"/>
  <c r="M13"/>
  <c r="M9" i="3"/>
  <c r="O11" i="7"/>
  <c r="P11" s="1"/>
  <c r="M10" i="3"/>
  <c r="Q11" i="7"/>
  <c r="R11" s="1"/>
  <c r="O10" i="3"/>
  <c r="Q13" i="7"/>
  <c r="CD19" i="8"/>
  <c r="K11" i="3" s="1"/>
  <c r="M9" i="7"/>
  <c r="CE19" i="8"/>
  <c r="CC24"/>
  <c r="CE24"/>
  <c r="M8" i="7"/>
  <c r="M15"/>
  <c r="Q12"/>
  <c r="L9" i="3"/>
  <c r="O10" i="7"/>
  <c r="L10" i="3"/>
  <c r="O9"/>
  <c r="O13" i="7"/>
  <c r="M12"/>
  <c r="CE22" i="8"/>
  <c r="M10" i="7"/>
  <c r="CE20" i="8"/>
  <c r="CD23"/>
  <c r="O11" i="3" s="1"/>
  <c r="M13" i="7"/>
  <c r="CE23" i="8"/>
  <c r="CC19"/>
  <c r="FV18"/>
  <c r="FY18"/>
  <c r="FV20"/>
  <c r="M32" i="16"/>
  <c r="FW18" i="8"/>
  <c r="J32" i="16"/>
  <c r="FY20" i="8"/>
  <c r="FW20"/>
  <c r="L32" i="16"/>
  <c r="M34"/>
  <c r="M35" i="12"/>
  <c r="R33" i="16"/>
  <c r="R34" i="12"/>
  <c r="R35" i="16"/>
  <c r="R36" i="12"/>
  <c r="J35" i="16"/>
  <c r="J36" i="12"/>
  <c r="J33" i="16"/>
  <c r="J34" i="12"/>
  <c r="L33" i="16"/>
  <c r="L34" i="12"/>
  <c r="L35" i="16"/>
  <c r="L36" i="12"/>
  <c r="K33" i="16"/>
  <c r="K34" i="12"/>
  <c r="K35" i="16"/>
  <c r="K36" i="12"/>
  <c r="P35" i="16"/>
  <c r="P36" i="12"/>
  <c r="FW22" i="8"/>
  <c r="N33" i="12"/>
  <c r="N33" i="16"/>
  <c r="N34" i="12"/>
  <c r="R34" i="16"/>
  <c r="R35" i="12"/>
  <c r="J34" i="16"/>
  <c r="J35" i="12"/>
  <c r="L34" i="16"/>
  <c r="L35" i="12"/>
  <c r="K34" i="16"/>
  <c r="K35" i="12"/>
  <c r="FY23" i="8"/>
  <c r="O33" i="12"/>
  <c r="FY21" i="8"/>
  <c r="M33" i="12"/>
  <c r="FW24" i="8"/>
  <c r="P33" i="12"/>
  <c r="CB24" i="8"/>
  <c r="FV21"/>
  <c r="FV24"/>
  <c r="CB19"/>
  <c r="CS24"/>
  <c r="E44" i="2"/>
  <c r="CS18" i="8"/>
  <c r="CS22"/>
  <c r="CU22" s="1"/>
  <c r="CS23"/>
  <c r="CS20"/>
  <c r="CU20" s="1"/>
  <c r="CS25"/>
  <c r="CS21"/>
  <c r="CS19"/>
  <c r="FY22"/>
  <c r="FV23"/>
  <c r="FW23"/>
  <c r="P28" i="3"/>
  <c r="L46" i="2"/>
  <c r="O46" s="1"/>
  <c r="S35" i="3"/>
  <c r="S37"/>
  <c r="R10" i="6" l="1"/>
  <c r="P10"/>
  <c r="CB25" i="8"/>
  <c r="O15" i="7" s="1"/>
  <c r="R13" i="6"/>
  <c r="P13"/>
  <c r="N28" i="3"/>
  <c r="R8" i="6"/>
  <c r="P8"/>
  <c r="Z50" i="12"/>
  <c r="N10" i="3"/>
  <c r="CD24" i="8"/>
  <c r="P11" i="3" s="1"/>
  <c r="CE25" i="8"/>
  <c r="N15" i="7" s="1"/>
  <c r="M14"/>
  <c r="O15" i="6"/>
  <c r="CD18" i="8"/>
  <c r="J11" i="3" s="1"/>
  <c r="L39" i="2"/>
  <c r="O39" s="1"/>
  <c r="N9" i="3"/>
  <c r="Q10" i="6"/>
  <c r="O12"/>
  <c r="CT22" i="8"/>
  <c r="N29" i="3" s="1"/>
  <c r="CE18" i="8"/>
  <c r="N8" i="6" s="1"/>
  <c r="N11" i="7"/>
  <c r="CB18" i="8"/>
  <c r="CC18"/>
  <c r="J8" i="3"/>
  <c r="CC25" i="8"/>
  <c r="CD25"/>
  <c r="R11" i="3" s="1"/>
  <c r="P6" s="1"/>
  <c r="S6" s="1"/>
  <c r="R8"/>
  <c r="R15" i="6"/>
  <c r="R12"/>
  <c r="Z48" i="16"/>
  <c r="Z48" i="12"/>
  <c r="X46" i="16"/>
  <c r="X46" i="12"/>
  <c r="Z43" i="16"/>
  <c r="Z43" i="12"/>
  <c r="X45" i="16"/>
  <c r="X45" i="12"/>
  <c r="X43" i="16"/>
  <c r="X43" i="12"/>
  <c r="W44"/>
  <c r="W44" i="16"/>
  <c r="W50" i="12"/>
  <c r="W50" i="16"/>
  <c r="W47"/>
  <c r="W47" i="12"/>
  <c r="Z46" i="16"/>
  <c r="Z46" i="12"/>
  <c r="X48" i="16"/>
  <c r="X48" i="12"/>
  <c r="X49" i="16"/>
  <c r="X49" i="12"/>
  <c r="Z49" i="16"/>
  <c r="Z49" i="12"/>
  <c r="Z47" i="16"/>
  <c r="Z47" i="12"/>
  <c r="Z45" i="16"/>
  <c r="Z45" i="12"/>
  <c r="W43" i="16"/>
  <c r="W43" i="12"/>
  <c r="W45" i="16"/>
  <c r="W45" i="12"/>
  <c r="W49" i="16"/>
  <c r="W49" i="12"/>
  <c r="W46"/>
  <c r="W46" i="16"/>
  <c r="W48" i="12"/>
  <c r="W48" i="16"/>
  <c r="R10" i="7"/>
  <c r="P10"/>
  <c r="R12"/>
  <c r="P12"/>
  <c r="R15"/>
  <c r="P15"/>
  <c r="R8"/>
  <c r="P8"/>
  <c r="R13"/>
  <c r="P13"/>
  <c r="CV20" i="8"/>
  <c r="L31" i="3" s="1"/>
  <c r="CV22" i="8"/>
  <c r="N31" i="3" s="1"/>
  <c r="L28"/>
  <c r="CT20" i="8"/>
  <c r="L29" i="3" s="1"/>
  <c r="O14" i="6"/>
  <c r="Q9"/>
  <c r="R9" s="1"/>
  <c r="O9"/>
  <c r="Q14"/>
  <c r="R14" s="1"/>
  <c r="L30" i="3"/>
  <c r="Q40" i="7"/>
  <c r="Q40" i="6"/>
  <c r="O42"/>
  <c r="O42" i="7"/>
  <c r="N30" i="3"/>
  <c r="Q42" i="7"/>
  <c r="Q42" i="6"/>
  <c r="M39"/>
  <c r="CW19" i="8"/>
  <c r="M45" i="6"/>
  <c r="CW25" i="8"/>
  <c r="M43" i="6"/>
  <c r="CW23" i="8"/>
  <c r="M38" i="6"/>
  <c r="CW18" i="8"/>
  <c r="M44" i="6"/>
  <c r="CW24" i="8"/>
  <c r="N13" i="7"/>
  <c r="N13" i="6"/>
  <c r="N9" i="7"/>
  <c r="N9" i="6"/>
  <c r="M41"/>
  <c r="CW21" i="8"/>
  <c r="M40" i="7"/>
  <c r="M40" i="6"/>
  <c r="CW20" i="8"/>
  <c r="M42" i="7"/>
  <c r="M42" i="6"/>
  <c r="CW22" i="8"/>
  <c r="N10" i="7"/>
  <c r="N10" i="6"/>
  <c r="N12" i="7"/>
  <c r="N12" i="6"/>
  <c r="N15"/>
  <c r="N8" i="7"/>
  <c r="N14"/>
  <c r="N14" i="6"/>
  <c r="CV19" i="8"/>
  <c r="K31" i="3" s="1"/>
  <c r="M39" i="7"/>
  <c r="R28" i="3"/>
  <c r="M45" i="7"/>
  <c r="O28" i="3"/>
  <c r="M43" i="7"/>
  <c r="J28" i="3"/>
  <c r="M38" i="7"/>
  <c r="CU24" i="8"/>
  <c r="M44" i="7"/>
  <c r="P9" i="3"/>
  <c r="O14" i="7"/>
  <c r="P14" s="1"/>
  <c r="K10" i="3"/>
  <c r="Q9" i="7"/>
  <c r="R9" s="1"/>
  <c r="M28" i="3"/>
  <c r="M41" i="7"/>
  <c r="K9" i="3"/>
  <c r="O9" i="7"/>
  <c r="P9" s="1"/>
  <c r="P10" i="3"/>
  <c r="Q14" i="7"/>
  <c r="R14" s="1"/>
  <c r="CU18" i="8"/>
  <c r="CV24"/>
  <c r="P31" i="3" s="1"/>
  <c r="CT25" i="8"/>
  <c r="CV23"/>
  <c r="O31" i="3" s="1"/>
  <c r="K28"/>
  <c r="CT21" i="8"/>
  <c r="CV21"/>
  <c r="M31" i="3" s="1"/>
  <c r="N35" i="16"/>
  <c r="N36" i="12"/>
  <c r="M33" i="16"/>
  <c r="M34" i="12"/>
  <c r="O33" i="16"/>
  <c r="O34" i="12"/>
  <c r="P33" i="16"/>
  <c r="P34" i="12"/>
  <c r="P34" i="16"/>
  <c r="P35" i="12"/>
  <c r="M35" i="16"/>
  <c r="M36" i="12"/>
  <c r="O35" i="16"/>
  <c r="O36" i="12"/>
  <c r="N34" i="16"/>
  <c r="N35" i="12"/>
  <c r="O34" i="16"/>
  <c r="O35" i="12"/>
  <c r="CU25" i="8"/>
  <c r="CV18"/>
  <c r="J31" i="3" s="1"/>
  <c r="CU23" i="8"/>
  <c r="CT24"/>
  <c r="CV25"/>
  <c r="R31" i="3" s="1"/>
  <c r="CT18" i="8"/>
  <c r="O38" i="6" s="1"/>
  <c r="CT23" i="8"/>
  <c r="CT19"/>
  <c r="CU19"/>
  <c r="CU21"/>
  <c r="M27" i="4"/>
  <c r="O27" s="1"/>
  <c r="L37" i="2"/>
  <c r="O37" s="1"/>
  <c r="M26" i="4"/>
  <c r="R9" i="3" l="1"/>
  <c r="J9"/>
  <c r="O8" i="6"/>
  <c r="O8" i="7"/>
  <c r="Q15"/>
  <c r="Q15" i="6"/>
  <c r="R10" i="3"/>
  <c r="J10"/>
  <c r="Q8" i="6"/>
  <c r="Q8" i="7"/>
  <c r="R40"/>
  <c r="P43"/>
  <c r="P39"/>
  <c r="R42"/>
  <c r="P42"/>
  <c r="O40" i="6"/>
  <c r="O40" i="7"/>
  <c r="P40" s="1"/>
  <c r="O29" i="3"/>
  <c r="O43" i="6"/>
  <c r="O43" i="7"/>
  <c r="M30" i="3"/>
  <c r="Q41" i="6"/>
  <c r="R41" s="1"/>
  <c r="Q41" i="7"/>
  <c r="R41" s="1"/>
  <c r="K29" i="3"/>
  <c r="O39" i="6"/>
  <c r="O39" i="7"/>
  <c r="J29" i="3"/>
  <c r="O38" i="7"/>
  <c r="P38" s="1"/>
  <c r="P29" i="3"/>
  <c r="O44" i="6"/>
  <c r="P44" s="1"/>
  <c r="O44" i="7"/>
  <c r="P44" s="1"/>
  <c r="R29" i="3"/>
  <c r="O45" i="6"/>
  <c r="O45" i="7"/>
  <c r="P45" s="1"/>
  <c r="J30" i="3"/>
  <c r="Q38" i="7"/>
  <c r="R38" s="1"/>
  <c r="Q38" i="6"/>
  <c r="P30" i="3"/>
  <c r="Q44" i="7"/>
  <c r="R44" s="1"/>
  <c r="Q44" i="6"/>
  <c r="R44" s="1"/>
  <c r="R42"/>
  <c r="P42"/>
  <c r="N40" i="7"/>
  <c r="N40" i="6"/>
  <c r="R38"/>
  <c r="P38"/>
  <c r="P43"/>
  <c r="P45"/>
  <c r="P39"/>
  <c r="K30" i="3"/>
  <c r="Q39" i="6"/>
  <c r="R39" s="1"/>
  <c r="Q39" i="7"/>
  <c r="R39" s="1"/>
  <c r="O30" i="3"/>
  <c r="Q43" i="6"/>
  <c r="R43" s="1"/>
  <c r="Q43" i="7"/>
  <c r="R43" s="1"/>
  <c r="R30" i="3"/>
  <c r="Q45" i="6"/>
  <c r="R45" s="1"/>
  <c r="Q45" i="7"/>
  <c r="R45" s="1"/>
  <c r="M29" i="3"/>
  <c r="O41" i="6"/>
  <c r="P41" s="1"/>
  <c r="O41" i="7"/>
  <c r="P41" s="1"/>
  <c r="N42"/>
  <c r="N42" i="6"/>
  <c r="R40"/>
  <c r="P40"/>
  <c r="N41"/>
  <c r="N41" i="7"/>
  <c r="N44"/>
  <c r="N44" i="6"/>
  <c r="N38" i="7"/>
  <c r="N38" i="6"/>
  <c r="N43"/>
  <c r="N43" i="7"/>
  <c r="N45" i="6"/>
  <c r="N45" i="7"/>
  <c r="N39" i="6"/>
  <c r="N39" i="7"/>
  <c r="P31" i="12"/>
  <c r="S31" s="1"/>
  <c r="P30" i="16"/>
  <c r="S30" s="1"/>
  <c r="P26" i="3"/>
  <c r="S26" s="1"/>
  <c r="O26" i="4"/>
  <c r="M20"/>
  <c r="O20" s="1"/>
  <c r="O28"/>
</calcChain>
</file>

<file path=xl/sharedStrings.xml><?xml version="1.0" encoding="utf-8"?>
<sst xmlns="http://schemas.openxmlformats.org/spreadsheetml/2006/main" count="1337" uniqueCount="448">
  <si>
    <t>TRAFFIC SIGNAL WARRANTS INPUT SHEET</t>
  </si>
  <si>
    <t>CALC by</t>
  </si>
  <si>
    <t>CALC DATE</t>
  </si>
  <si>
    <t>CHK by</t>
  </si>
  <si>
    <t>COUNT DATE</t>
  </si>
  <si>
    <t>CITY</t>
  </si>
  <si>
    <t>DIST</t>
  </si>
  <si>
    <t>CO</t>
  </si>
  <si>
    <t>M.P.</t>
  </si>
  <si>
    <t>North-South Street</t>
  </si>
  <si>
    <t>mph</t>
  </si>
  <si>
    <t xml:space="preserve">Lanes: </t>
  </si>
  <si>
    <t xml:space="preserve"> Is street part of the street or highway system that serves as the principal roadway network for through traffic flow?</t>
  </si>
  <si>
    <t xml:space="preserve"> Does street include rural or suburban highways outside, entering, or traversing a city?</t>
  </si>
  <si>
    <t xml:space="preserve"> Does street appear as a major route on an official street plan?</t>
  </si>
  <si>
    <t>ft</t>
  </si>
  <si>
    <t xml:space="preserve"> Will a signal at this location provide the necessary degree of platooning and progression between the adjacent signals?</t>
  </si>
  <si>
    <t>East-West Street</t>
  </si>
  <si>
    <t xml:space="preserve"> Is there an engineering study that has 5-year projected volumes at this intersection that meet one or more of </t>
  </si>
  <si>
    <t xml:space="preserve"> Warrants 1, 2, or 3 during an average weekday?</t>
  </si>
  <si>
    <t xml:space="preserve"> Do traffic volumes on a Saturday or Sunday meet or exceed 1000 veh/hr for at least 5 hours?</t>
  </si>
  <si>
    <t xml:space="preserve"> Is there a designated school crossing across the uncontrolled roadway at this intersection?</t>
  </si>
  <si>
    <t>Volume Input Table</t>
  </si>
  <si>
    <t>NORTHBOUND</t>
  </si>
  <si>
    <t>SOUTHBOUND</t>
  </si>
  <si>
    <t>EASTBOUND</t>
  </si>
  <si>
    <t>WESTBOUND</t>
  </si>
  <si>
    <t>Lt</t>
  </si>
  <si>
    <t>Thru</t>
  </si>
  <si>
    <t>Rt</t>
  </si>
  <si>
    <t>Peds</t>
  </si>
  <si>
    <t>6:00-7:00 am</t>
  </si>
  <si>
    <t>7:00-8:00 am</t>
  </si>
  <si>
    <t>8:00-9:00 am</t>
  </si>
  <si>
    <t>9:00-10:00 am</t>
  </si>
  <si>
    <t>10:00-11:00 am</t>
  </si>
  <si>
    <t>11:00-12:00 n</t>
  </si>
  <si>
    <t>12:00-1:00 pm</t>
  </si>
  <si>
    <t>1:00-2:00 pm</t>
  </si>
  <si>
    <t>2:00-3:00 pm</t>
  </si>
  <si>
    <t>3:00-4:00 pm</t>
  </si>
  <si>
    <t>4:00-5:00 pm</t>
  </si>
  <si>
    <t>5:00-6:00 pm</t>
  </si>
  <si>
    <t>6:00-7:00 pm</t>
  </si>
  <si>
    <t>DELAY INPUT TABLE</t>
  </si>
  <si>
    <t>AVERAGE STOPPED TIME BY APPROACH</t>
  </si>
  <si>
    <t>WYOMING DEPARTMENT OF TRANSPORTATION</t>
  </si>
  <si>
    <t>TRAFFIC SIGNAL WARRANTS</t>
  </si>
  <si>
    <t xml:space="preserve"> </t>
  </si>
  <si>
    <t>Major Street</t>
  </si>
  <si>
    <t>Minor Street</t>
  </si>
  <si>
    <t>OR</t>
  </si>
  <si>
    <t>WARRANT 1 - Eight-Hour Vehicular Volume</t>
  </si>
  <si>
    <t>Condition A - Minimum Vehicular Volume</t>
  </si>
  <si>
    <t>APPROACH LANES</t>
  </si>
  <si>
    <t>WARRANT VOLUME</t>
  </si>
  <si>
    <t>Warrant Volume Met?</t>
  </si>
  <si>
    <t>No</t>
  </si>
  <si>
    <t>Condition B - Interruption of  Continuous Traffic</t>
  </si>
  <si>
    <t>Combination of Conditions "A" and "B"</t>
  </si>
  <si>
    <t>BOTH SATISFIED</t>
  </si>
  <si>
    <t>Condition "A"</t>
  </si>
  <si>
    <t>A" SATISFIED</t>
  </si>
  <si>
    <t>Condition "B"</t>
  </si>
  <si>
    <t>B" SATISFIED</t>
  </si>
  <si>
    <t xml:space="preserve"> mph</t>
  </si>
  <si>
    <t xml:space="preserve">West </t>
  </si>
  <si>
    <t xml:space="preserve">East </t>
  </si>
  <si>
    <t xml:space="preserve"> Distance to nearest signal:</t>
  </si>
  <si>
    <t xml:space="preserve">Posted Approach Speed </t>
  </si>
  <si>
    <t xml:space="preserve">South </t>
  </si>
  <si>
    <t xml:space="preserve">North </t>
  </si>
  <si>
    <t xml:space="preserve">WARRANT SATISFIED </t>
  </si>
  <si>
    <t xml:space="preserve">YES </t>
  </si>
  <si>
    <t xml:space="preserve">NO </t>
  </si>
  <si>
    <t>Both Approaches    Major Street</t>
  </si>
  <si>
    <t>Highest Approach   Minor Street</t>
  </si>
  <si>
    <t>WARRANT 2 - Four-Hour Vehicular Volume</t>
  </si>
  <si>
    <t>Approach Lanes</t>
  </si>
  <si>
    <t>8 AM</t>
  </si>
  <si>
    <t>3 PM</t>
  </si>
  <si>
    <t>4 PM</t>
  </si>
  <si>
    <t>5 PM</t>
  </si>
  <si>
    <t>A</t>
  </si>
  <si>
    <t>Both Approaches - Major Street</t>
  </si>
  <si>
    <t>B</t>
  </si>
  <si>
    <t>Highest Approach - Minor Street</t>
  </si>
  <si>
    <t>Yes</t>
  </si>
  <si>
    <t>WARRANT 3 - Peak Hour</t>
  </si>
  <si>
    <t>FULFILLED</t>
  </si>
  <si>
    <t>Ave Delay/Veh</t>
  </si>
  <si>
    <t>WARRANT 4 - Pedestrian Volume</t>
  </si>
  <si>
    <t>11 AM</t>
  </si>
  <si>
    <t>12 PM</t>
  </si>
  <si>
    <t xml:space="preserve">Not Applicable </t>
  </si>
  <si>
    <t xml:space="preserve">SATISFIED* </t>
  </si>
  <si>
    <t xml:space="preserve">AND </t>
  </si>
  <si>
    <r>
      <t>Condition "A"</t>
    </r>
    <r>
      <rPr>
        <sz val="10"/>
        <rFont val="Arial"/>
        <family val="2"/>
      </rPr>
      <t xml:space="preserve">   (for the same 1 hour of an averge day)</t>
    </r>
  </si>
  <si>
    <t xml:space="preserve"> Both Approaches - Major Street</t>
  </si>
  <si>
    <t xml:space="preserve"> Highest Approach - Minor Street</t>
  </si>
  <si>
    <t>WARRANT 6 - Coordinated Signal System</t>
  </si>
  <si>
    <t>YES</t>
  </si>
  <si>
    <t>NO</t>
  </si>
  <si>
    <t>MINIMUM REQUIREMENT</t>
  </si>
  <si>
    <t>DISTANCE TO NEAREST SIGNAL</t>
  </si>
  <si>
    <t>Greater than 1000 ft</t>
  </si>
  <si>
    <t>WARRANT 7 - Crash Experience</t>
  </si>
  <si>
    <t>A.  ADEQUATE TRIAL OF ALTERNATIVES WITH SATISFACTORY OBSERVANCE  AND</t>
  </si>
  <si>
    <t xml:space="preserve">     ENFORCEMENT HAS FAILED TO REDUCE THE CRASH FREQUENCY;</t>
  </si>
  <si>
    <t>B.  MINIMUM REQUIREMENT</t>
  </si>
  <si>
    <t>NUMBER OF CRASHES</t>
  </si>
  <si>
    <t>SATISFIED AT</t>
  </si>
  <si>
    <t>WARRANT 8 - Roadway Network</t>
  </si>
  <si>
    <t>Total entering volume equals 1000 vehicles or more per/hr</t>
  </si>
  <si>
    <t>MAJOR</t>
  </si>
  <si>
    <t>MINOR</t>
  </si>
  <si>
    <t xml:space="preserve">OR </t>
  </si>
  <si>
    <t xml:space="preserve"> WARRANT 1A - MINIMUM VEHICULAR VOLUME </t>
  </si>
  <si>
    <t xml:space="preserve"> WARRANT 1B - INTERRUPTION OF CONTINUOUS TRAFFIC</t>
  </si>
  <si>
    <t xml:space="preserve"> WARRANT 4 - PEDESTRIAN VOLUME</t>
  </si>
  <si>
    <t>Volumes Used for This Signal Warrant Study</t>
  </si>
  <si>
    <t>Major Street Totals</t>
  </si>
  <si>
    <t>Minor Street Totals</t>
  </si>
  <si>
    <t>Pedestrians Across</t>
  </si>
  <si>
    <t>(Both Approaches)</t>
  </si>
  <si>
    <t>(Highest Approach)</t>
  </si>
  <si>
    <t>TOTALS</t>
  </si>
  <si>
    <t>DELAY TABLE</t>
  </si>
  <si>
    <t>Time</t>
  </si>
  <si>
    <t>Higher</t>
  </si>
  <si>
    <t>VOLUME TABLE</t>
  </si>
  <si>
    <t>Table to determine Major Street and Minor Street Approaches</t>
  </si>
  <si>
    <t>NB Total</t>
  </si>
  <si>
    <t>SB Total</t>
  </si>
  <si>
    <t>NB/SB</t>
  </si>
  <si>
    <t>Greater N/S</t>
  </si>
  <si>
    <t>EB Total</t>
  </si>
  <si>
    <t>WB Total</t>
  </si>
  <si>
    <t>EB/WB</t>
  </si>
  <si>
    <t>Greater E/W</t>
  </si>
  <si>
    <t>Tot Entering</t>
  </si>
  <si>
    <t>N/S Total</t>
  </si>
  <si>
    <t>E/W Total</t>
  </si>
  <si>
    <t>Approaches</t>
  </si>
  <si>
    <t>Reduce?</t>
  </si>
  <si>
    <t>THIS TABLE IS USED TO CALCULATE THE MINOR STREET WARRANT VOLUMES BASED ON ACTUAL MAJOR STREET HOURLY VOLUMES</t>
  </si>
  <si>
    <t>Warrant # 2 Table</t>
  </si>
  <si>
    <t xml:space="preserve"> Warrant # 3 Table</t>
  </si>
  <si>
    <t>Warrant # 3 Table</t>
  </si>
  <si>
    <t>Without Pop./Speed Adjustment</t>
  </si>
  <si>
    <t>With Pop./Speed Adjustment</t>
  </si>
  <si>
    <t xml:space="preserve">    Minor Street</t>
  </si>
  <si>
    <t xml:space="preserve"> Major</t>
  </si>
  <si>
    <t>2+/2+</t>
  </si>
  <si>
    <t>2+/1</t>
  </si>
  <si>
    <t>1/1</t>
  </si>
  <si>
    <t>Major</t>
  </si>
  <si>
    <t>THIS TABLE IS USED ONLY FOR VARIFICATION OF CALCULATED MINOR STREET WARRANT VOLUMES</t>
  </si>
  <si>
    <t>6 AM</t>
  </si>
  <si>
    <t>7 AM</t>
  </si>
  <si>
    <t>9 AM</t>
  </si>
  <si>
    <t>10 AM</t>
  </si>
  <si>
    <t>1 PM</t>
  </si>
  <si>
    <t>2 PM</t>
  </si>
  <si>
    <t>6 PM</t>
  </si>
  <si>
    <t>Criteria</t>
  </si>
  <si>
    <t>Highest</t>
  </si>
  <si>
    <t>Minor</t>
  </si>
  <si>
    <t>Condense Hr</t>
  </si>
  <si>
    <t>Look-up Maj</t>
  </si>
  <si>
    <t>Look-up Min</t>
  </si>
  <si>
    <t>Volume</t>
  </si>
  <si>
    <t xml:space="preserve">Count Date </t>
  </si>
  <si>
    <t xml:space="preserve">Calc Date </t>
  </si>
  <si>
    <t xml:space="preserve">Calc by </t>
  </si>
  <si>
    <t xml:space="preserve">Chk by </t>
  </si>
  <si>
    <t xml:space="preserve">SATISFIED </t>
  </si>
  <si>
    <t>5 OR MORE CRASHES IN 12 MONTHS</t>
  </si>
  <si>
    <t xml:space="preserve">  OR </t>
  </si>
  <si>
    <t xml:space="preserve">    PRINCIPAL ROADWAY NETWORK FOR THROUGH TRAFFIC FLOW;</t>
  </si>
  <si>
    <t>A.  IT IS PART OF THE STREET OR HIGHWAY SYSTEM THAT SERVES AS THE</t>
  </si>
  <si>
    <t>B.  IT INCLUDES RURAL OR SUBURBAN HIGHWAYS OUTSIDE, ENTERING, OR</t>
  </si>
  <si>
    <t xml:space="preserve">    TRAVERSING A CITY</t>
  </si>
  <si>
    <t>C.  IT APPEARS AS A MAJOR ROUTE ON AN OFFICIAL PLAN, SUCH AS A MAJOR</t>
  </si>
  <si>
    <t xml:space="preserve">    STREET PLAN IN AN URBAN AREA TRAFFIC AND TRANSPORTATION STUDY.</t>
  </si>
  <si>
    <t>A.  ON A ONE-WAY STREET OR A STREET THAT HAS TRAFFIC PREDOMINANTLY IN ONE DIRECTION,</t>
  </si>
  <si>
    <t xml:space="preserve">     THE ADJACENT TRAFFIC CONTROL SIGNALS ARE SO FAR APART THAT THEY DO NOT PROVIDE </t>
  </si>
  <si>
    <t xml:space="preserve">     THE NECESSARY DEGREE OF VEHICULAR PLATOONING;</t>
  </si>
  <si>
    <t>B.  ON A TWO-WAY STREET, ADJACENT TRAFFIC CONTROL SIGNALS DO NOT PROVIDE THE NECESSARY</t>
  </si>
  <si>
    <t xml:space="preserve">     SIGNALS WILL COLLECTIVELY PROVIDE A PROGRESSIVE OPERATION.</t>
  </si>
  <si>
    <t xml:space="preserve">     DEGREE OF VEHICULAR PLATOONING AND THE PROPOSED AND ADJACENT TRAFFIC CONTROL</t>
  </si>
  <si>
    <t xml:space="preserve">     CHARACTERISTICS OF MAJOR ROUTES</t>
  </si>
  <si>
    <t xml:space="preserve">ANY MAJOR ROUTE CHARACTERISTICS MET FOR BOTH STREETS </t>
  </si>
  <si>
    <t>Look-up Peds</t>
  </si>
  <si>
    <t>Combined</t>
  </si>
  <si>
    <t>WARRANT 1, CONDITION A, 8-HOUR VEHICULAR VOLUME</t>
  </si>
  <si>
    <t>Vol Above</t>
  </si>
  <si>
    <t>Test For</t>
  </si>
  <si>
    <t>Comb Vol</t>
  </si>
  <si>
    <t>2nd Test</t>
  </si>
  <si>
    <t>ID Top 8</t>
  </si>
  <si>
    <t>or Below</t>
  </si>
  <si>
    <t>&gt; 8th</t>
  </si>
  <si>
    <t>of 8th</t>
  </si>
  <si>
    <t>For 8th</t>
  </si>
  <si>
    <t>Hours For</t>
  </si>
  <si>
    <t>Largest</t>
  </si>
  <si>
    <t>Highest Hr</t>
  </si>
  <si>
    <t>Warrant 1A</t>
  </si>
  <si>
    <t>Major St</t>
  </si>
  <si>
    <t>Add Hrs</t>
  </si>
  <si>
    <t>Vol Needed</t>
  </si>
  <si>
    <t>Needed</t>
  </si>
  <si>
    <t>Use Vol &gt;=</t>
  </si>
  <si>
    <t>Minor St</t>
  </si>
  <si>
    <t>8th Largest</t>
  </si>
  <si>
    <t>WARRANT 1, CONDITION B, INTERRUPTION OF CONTINUOUS TRAFFIC</t>
  </si>
  <si>
    <t>Warrant 1B</t>
  </si>
  <si>
    <t>WARRANT 1, COMBINATION OF WARRANTS - CONDITION A @ 80 PERCENT</t>
  </si>
  <si>
    <t>Warr 1A 80%</t>
  </si>
  <si>
    <t>WARRANT 1, COMBINATION OF WARRANTS - CONDITION B @ 80 PERCENT</t>
  </si>
  <si>
    <t>Warr 1B 80%</t>
  </si>
  <si>
    <t>WARRANT 2, FOUR-HOUR VEHICULAR VOLUME</t>
  </si>
  <si>
    <t>Minor Volume</t>
  </si>
  <si>
    <t>4-hr Criteria</t>
  </si>
  <si>
    <t>4-hr Met?</t>
  </si>
  <si>
    <t>Warrant 2</t>
  </si>
  <si>
    <t>Look-up Met</t>
  </si>
  <si>
    <t>Number of</t>
  </si>
  <si>
    <t>Warrant 3, Peak Hour - Condition A</t>
  </si>
  <si>
    <t>ID</t>
  </si>
  <si>
    <t>Total Vol</t>
  </si>
  <si>
    <t>Peak Hr</t>
  </si>
  <si>
    <t>Tot Vol</t>
  </si>
  <si>
    <t>- Largest</t>
  </si>
  <si>
    <t>- Peak Hr Lookup</t>
  </si>
  <si>
    <t>- Peak Hr Display</t>
  </si>
  <si>
    <t>Min Vol</t>
  </si>
  <si>
    <t>- Peak Total Vol</t>
  </si>
  <si>
    <t>- Peak Minor Approach Vol</t>
  </si>
  <si>
    <t>Hrs Mtg Peak</t>
  </si>
  <si>
    <t>Hr Vol Criteria</t>
  </si>
  <si>
    <t>Warrant 3, Peak Hour - Condition B</t>
  </si>
  <si>
    <t>1-hr Criteria</t>
  </si>
  <si>
    <t>1-hr Met?</t>
  </si>
  <si>
    <t>PEDS</t>
  </si>
  <si>
    <t>STREET</t>
  </si>
  <si>
    <t>ACROSS</t>
  </si>
  <si>
    <t>Test for</t>
  </si>
  <si>
    <t>2nd Test for</t>
  </si>
  <si>
    <t>&gt; 8th Largest</t>
  </si>
  <si>
    <t>Warrant 4</t>
  </si>
  <si>
    <t>Warrant # 2 Table 4C-1</t>
  </si>
  <si>
    <t>Warrant # 2 Table 4C-2</t>
  </si>
  <si>
    <t xml:space="preserve"> Warrant # 3 Table 4C-3</t>
  </si>
  <si>
    <t>Warrant # 3 Table 4C-4</t>
  </si>
  <si>
    <t>-----------------------</t>
  </si>
  <si>
    <t>-----------------</t>
  </si>
  <si>
    <t>----</t>
  </si>
  <si>
    <t>-----</t>
  </si>
  <si>
    <t>WARRANT 4, PEDESTRIAN VOLUME</t>
  </si>
  <si>
    <r>
      <t>A</t>
    </r>
    <r>
      <rPr>
        <sz val="10"/>
        <rFont val="Arial"/>
        <family val="2"/>
      </rPr>
      <t xml:space="preserve"> </t>
    </r>
    <r>
      <rPr>
        <sz val="9"/>
        <rFont val="Arial"/>
        <family val="2"/>
      </rPr>
      <t xml:space="preserve">- </t>
    </r>
    <r>
      <rPr>
        <sz val="8"/>
        <rFont val="Arial"/>
        <family val="2"/>
      </rPr>
      <t>Two or more</t>
    </r>
  </si>
  <si>
    <r>
      <t>B</t>
    </r>
    <r>
      <rPr>
        <sz val="10"/>
        <rFont val="Arial"/>
        <family val="2"/>
      </rPr>
      <t xml:space="preserve"> </t>
    </r>
    <r>
      <rPr>
        <sz val="9"/>
        <rFont val="Arial"/>
        <family val="2"/>
      </rPr>
      <t xml:space="preserve">- </t>
    </r>
    <r>
      <rPr>
        <sz val="8"/>
        <rFont val="Arial"/>
        <family val="2"/>
      </rPr>
      <t>One</t>
    </r>
  </si>
  <si>
    <t xml:space="preserve">   to each direction of vehicular traffic.</t>
  </si>
  <si>
    <r>
      <t>a</t>
    </r>
    <r>
      <rPr>
        <sz val="8"/>
        <rFont val="Arial"/>
        <family val="2"/>
      </rPr>
      <t xml:space="preserve"> Where there is a divided street having a median of sufficient width for pedestrians to wait, the requirement applies separately</t>
    </r>
  </si>
  <si>
    <t xml:space="preserve">   is less than 300 ft., unless the proposed traffic control signal will not restrict the progressive movement of traffic.</t>
  </si>
  <si>
    <t xml:space="preserve">NOTE:  This warrant shall not be applied at locations where the distance to the nearest traffic control signal along the major street </t>
  </si>
  <si>
    <t xml:space="preserve">    or exceeds: 4 veh/hrs for a 1-lane approach; or 5 veh/hrs for a 2-lane approach,</t>
  </si>
  <si>
    <t>1. The total STOPPED delay experienced on one minor street approach controlled by a STOP sign equals</t>
  </si>
  <si>
    <t>AVERAGE STOPPED TIME BY</t>
  </si>
  <si>
    <t>APPROACH FOR MINOR STREET</t>
  </si>
  <si>
    <t>2.  The volume on the same minor street approach equals or exceeds 100 vph for one moving lane of</t>
  </si>
  <si>
    <t>3.  The total entering volume serviced during the hour equals or exceeds 650 vph for intersections with</t>
  </si>
  <si>
    <t>B.  DURING EACH OF ANY 5 HRS OF A SATURDAY OR SUNDAY EXCEED 1,000 VEH/HOUR</t>
  </si>
  <si>
    <t xml:space="preserve">     HAS 5-YEAR PROJECTED VOLUMES, BASED ON AN ENGINEERING STUDY, THAT MEET</t>
  </si>
  <si>
    <t xml:space="preserve">     ONE OR MORE OF WARRANTS 1, 2, AND 3 DURING AN AVERAGE WEEKDAY;</t>
  </si>
  <si>
    <t>C.                   ONE WARRANT</t>
  </si>
  <si>
    <t>Hrs</t>
  </si>
  <si>
    <t>Counted</t>
  </si>
  <si>
    <t>Look-up</t>
  </si>
  <si>
    <t>Vehicle</t>
  </si>
  <si>
    <t>Reduced</t>
  </si>
  <si>
    <t>THIS TABLE IS USED ONLY FOR VARIFICATION OF CALCULATED PEDESTRIAN WARRANT VOLUMES</t>
  </si>
  <si>
    <t xml:space="preserve">   Pedestrians</t>
  </si>
  <si>
    <t>Table 4C-5</t>
  </si>
  <si>
    <t>Table 4C-6</t>
  </si>
  <si>
    <t>Table 4C-7</t>
  </si>
  <si>
    <t>Table 4C-8</t>
  </si>
  <si>
    <t>Unreduced</t>
  </si>
  <si>
    <t>4C-6</t>
  </si>
  <si>
    <t>4C-5</t>
  </si>
  <si>
    <t>4C-7</t>
  </si>
  <si>
    <t>4C-8</t>
  </si>
  <si>
    <t>Posted speed of major street traffic &gt; 35 mph?</t>
  </si>
  <si>
    <t>4-hour</t>
  </si>
  <si>
    <t>Met</t>
  </si>
  <si>
    <t>1-hour</t>
  </si>
  <si>
    <t>4-HOUR WARRANT SATISFIED</t>
  </si>
  <si>
    <t xml:space="preserve">  1-HOUR WARRANT SATISFIED</t>
  </si>
  <si>
    <t>WARRANT 9 - Intersection Near a Grade Crossing</t>
  </si>
  <si>
    <t>In built up area of isolated community of &lt;= 10,000 pop. with no existing signals -----------------------</t>
  </si>
  <si>
    <t>Critical speed of major street traffic &gt; 40 mph --------------------------------------------------------------------------</t>
  </si>
  <si>
    <t>Page 1 of 6</t>
  </si>
  <si>
    <t>Page 4 of 6</t>
  </si>
  <si>
    <t>Page 5 of 6</t>
  </si>
  <si>
    <t>Page 6 of 6</t>
  </si>
  <si>
    <t>Page 2 of 6</t>
  </si>
  <si>
    <t>Page 3 of 6</t>
  </si>
  <si>
    <t xml:space="preserve">Total Pedestrians Crossing Major Street </t>
  </si>
  <si>
    <r>
      <t>Vehicular Volume, Major Street - Total Both Approaches</t>
    </r>
    <r>
      <rPr>
        <vertAlign val="superscript"/>
        <sz val="8"/>
        <rFont val="Arial"/>
        <family val="2"/>
      </rPr>
      <t xml:space="preserve">a </t>
    </r>
  </si>
  <si>
    <t>4-hr Met</t>
  </si>
  <si>
    <t>to 80%?</t>
  </si>
  <si>
    <t>1-hr Met</t>
  </si>
  <si>
    <t>D = 30</t>
  </si>
  <si>
    <t>D = 50</t>
  </si>
  <si>
    <t>D = 70</t>
  </si>
  <si>
    <t>D = 90</t>
  </si>
  <si>
    <t>D = 110</t>
  </si>
  <si>
    <t>D = 130</t>
  </si>
  <si>
    <t>Table of Break-points on Figure 4C-9. Warrant 9, Intersection Near a Grade Crossing (One Approach Lane at the Track Crossing)</t>
  </si>
  <si>
    <t>Table for Figure 4C-9</t>
  </si>
  <si>
    <t>D = 130 ft</t>
  </si>
  <si>
    <t>D = 110 ft</t>
  </si>
  <si>
    <t>D = 90 ft</t>
  </si>
  <si>
    <t>D = 70 ft</t>
  </si>
  <si>
    <t>D = 50 ft</t>
  </si>
  <si>
    <t>D = 30 ft</t>
  </si>
  <si>
    <t>VPH on the major street (Total of both approaches)</t>
  </si>
  <si>
    <t>VPH on the minor street, crossing approach equivalent**</t>
  </si>
  <si>
    <t>PPH for total of all pedestrians crossing the major street</t>
  </si>
  <si>
    <t>25*</t>
  </si>
  <si>
    <t>* Note: 25 vph applies as the lower threshold volume</t>
  </si>
  <si>
    <t>** VPH after applying the adjustment factors in Tables 4C-2, 4C-3, and/or 4C-4, if appropriate</t>
  </si>
  <si>
    <t>Table for Figure 4C-10</t>
  </si>
  <si>
    <t>—</t>
  </si>
  <si>
    <t>Table 4C-2. Warrant 9, Adjustment Factor for Daily Frequency of Rail Traffic</t>
  </si>
  <si>
    <t>Rail Traffic per Day</t>
  </si>
  <si>
    <t>Adjustment Factor</t>
  </si>
  <si>
    <t>3 to 5</t>
  </si>
  <si>
    <t>6 to 8</t>
  </si>
  <si>
    <t>9 to 11</t>
  </si>
  <si>
    <t>12 or more</t>
  </si>
  <si>
    <t>Table 4C-3. Warrant 9, Adjustment Factor for Percentage of High-Occupancy Buses</t>
  </si>
  <si>
    <t>% of High-Occupancy Buses*</t>
  </si>
  <si>
    <t>on Minor-Street Approach</t>
  </si>
  <si>
    <t>6% or more</t>
  </si>
  <si>
    <t>Table 4C-4. Warrant 9, Adjustment Factor for Percentage of Tractor-Trailer Trucks</t>
  </si>
  <si>
    <t>% of Tractor-Trailer Trucks</t>
  </si>
  <si>
    <t>D less than 70 feet</t>
  </si>
  <si>
    <t>D of 70 feet or more</t>
  </si>
  <si>
    <t>0% to 2.5%</t>
  </si>
  <si>
    <t>2.6% to 7.5%</t>
  </si>
  <si>
    <t>7.6% to 12.5%</t>
  </si>
  <si>
    <t>12.6% to 17.5%</t>
  </si>
  <si>
    <t>17.6% to 22.5%</t>
  </si>
  <si>
    <t>22.6% to 27.5%</t>
  </si>
  <si>
    <t>More than 27.5%</t>
  </si>
  <si>
    <t>INPUT SHEET FOR WARRANT 9, INTERSECTION NEAR A GRADE CROSSING</t>
  </si>
  <si>
    <t>Number of Trains per Day</t>
  </si>
  <si>
    <t xml:space="preserve">Number of Approach Lanes at Crossing </t>
  </si>
  <si>
    <t xml:space="preserve"> Is there a railroad grade crossing within 140 feet of the intersection on a STOP controlled approach?</t>
  </si>
  <si>
    <t>*Refer to MUTCD Figure 4C-9 to determine if this warrant is satisfied</t>
  </si>
  <si>
    <t>Direction of Minor Street Approach Crossing Tracks</t>
  </si>
  <si>
    <t>INTERSECTION NEAR A GRADE CROSSING WARRANT SHEET</t>
  </si>
  <si>
    <t>% of High-Occupancy Buses on Minor Street Approach</t>
  </si>
  <si>
    <t>% of Tractor-Trailer Trucks on Minor Street Approach</t>
  </si>
  <si>
    <t xml:space="preserve">See Intersection Near a Grade Crossing Warrant Sheet </t>
  </si>
  <si>
    <t>Page 1 of 1</t>
  </si>
  <si>
    <t>Adjustment Factor for Daily Frequency of Rail Traffic</t>
  </si>
  <si>
    <t>Adjustment Factor for Percentage of High-Occupancy Buses</t>
  </si>
  <si>
    <t>Adjustment Factor for Percentage of Tractor-Trailer Trucks</t>
  </si>
  <si>
    <t>Clear Storage Distance (D) in ft.</t>
  </si>
  <si>
    <t>Adjustment Factors:</t>
  </si>
  <si>
    <t>Number of Trains Per Day</t>
  </si>
  <si>
    <t xml:space="preserve">  Major Street Total of Both Approaches - VPH</t>
  </si>
  <si>
    <t xml:space="preserve">  Minor Street Crossing Approach - Equivalent VPH **</t>
  </si>
  <si>
    <t xml:space="preserve">  Does plotted point fall above curve on Figure 4C-9?</t>
  </si>
  <si>
    <t>Clear Storage Distance (D)</t>
  </si>
  <si>
    <t>*Refer to MUTCD Figure 4C-10 to determine if this warrant is satisfied</t>
  </si>
  <si>
    <t>**VPH after applying the adjustment factors in Tables 4C-2, 4C-3, and/or 4C-4, if appropriate</t>
  </si>
  <si>
    <t xml:space="preserve">  Does plotted point fall above curve on Figure 4C-10?</t>
  </si>
  <si>
    <t xml:space="preserve">Major Street </t>
  </si>
  <si>
    <t xml:space="preserve">Minor Street </t>
  </si>
  <si>
    <t xml:space="preserve">Number of Lanes </t>
  </si>
  <si>
    <t>at Track Crossing</t>
  </si>
  <si>
    <t>VOLUME</t>
  </si>
  <si>
    <t>TRACKS</t>
  </si>
  <si>
    <t>CRITERIA</t>
  </si>
  <si>
    <t>ADJUSTED</t>
  </si>
  <si>
    <t>MET?</t>
  </si>
  <si>
    <t>Warrant 9</t>
  </si>
  <si>
    <t>WARRANT</t>
  </si>
  <si>
    <t>Adjusted</t>
  </si>
  <si>
    <t>Warrant 9, Intersection Near a Grade Crossing</t>
  </si>
  <si>
    <t>Calculated Warrant 9 Criteria, Based on Major Street Volumes, Lanes Across Tracks &amp; Clear Storage Distance</t>
  </si>
  <si>
    <t>Minor street crossing approach equivalent**</t>
  </si>
  <si>
    <t>Condense</t>
  </si>
  <si>
    <t>Hour</t>
  </si>
  <si>
    <t>Form TR-01b</t>
  </si>
  <si>
    <t xml:space="preserve">Look-up </t>
  </si>
  <si>
    <t>Above/Below</t>
  </si>
  <si>
    <t>Street</t>
  </si>
  <si>
    <t xml:space="preserve">Length </t>
  </si>
  <si>
    <t>of Line</t>
  </si>
  <si>
    <t>X max</t>
  </si>
  <si>
    <t>X full width</t>
  </si>
  <si>
    <t>Y full height</t>
  </si>
  <si>
    <t>4hr Criteria</t>
  </si>
  <si>
    <t>1hr Criteria</t>
  </si>
  <si>
    <t>Across</t>
  </si>
  <si>
    <t xml:space="preserve">Adjusted </t>
  </si>
  <si>
    <t>SATISFIED</t>
  </si>
  <si>
    <t>APPLICABLE</t>
  </si>
  <si>
    <t>WARRANT 5 - School Crossing</t>
  </si>
  <si>
    <t>1. There are a minimum of 20 students crossing during the highest crossing hour.</t>
  </si>
  <si>
    <t>2.  There are fewer adequate gaps in the major road traffic stream during the period</t>
  </si>
  <si>
    <t xml:space="preserve">     when the children are using the crossing than the number of minutes in the same period.</t>
  </si>
  <si>
    <t>3.  The nearest traffic signal along the major road is located more than 300 feet away.  Or, the</t>
  </si>
  <si>
    <t xml:space="preserve">See School Crossing Warrant Sheet </t>
  </si>
  <si>
    <t>SCHOOL CROSSING SIGNAL WARRANT SHEET</t>
  </si>
  <si>
    <t>ft.</t>
  </si>
  <si>
    <t>Observer</t>
  </si>
  <si>
    <t>City</t>
  </si>
  <si>
    <t>Dist</t>
  </si>
  <si>
    <t>County</t>
  </si>
  <si>
    <t xml:space="preserve">Study Date </t>
  </si>
  <si>
    <t>(curb-curb width)</t>
  </si>
  <si>
    <t>(Assuming 3.5 ft/sec walking speed and 3 sec. startup; G = W/3.5 + 3)</t>
  </si>
  <si>
    <t xml:space="preserve">Minimum Acceptable Gap to Cross (G) </t>
  </si>
  <si>
    <t xml:space="preserve">Width of Major Street (W) </t>
  </si>
  <si>
    <t xml:space="preserve">Duration </t>
  </si>
  <si>
    <t xml:space="preserve">Start Time </t>
  </si>
  <si>
    <t xml:space="preserve">End Time </t>
  </si>
  <si>
    <t xml:space="preserve"> seconds</t>
  </si>
  <si>
    <t xml:space="preserve"> (From Pedestrian Gap Study)</t>
  </si>
  <si>
    <t xml:space="preserve">     progressive movement of traffic.</t>
  </si>
  <si>
    <t xml:space="preserve">     nearest traffic signal is within 300 feet, but the proposed traffic signal will not restrict</t>
  </si>
  <si>
    <t xml:space="preserve">Dist. to Nearest Signal </t>
  </si>
  <si>
    <t>Is there an existing traffic signal along the major street that is less than 300 feet away?</t>
  </si>
  <si>
    <t>Will a traffic signal at this location restrict the progressive movement of traffic?</t>
  </si>
  <si>
    <t xml:space="preserve">Before a decision is made to install a traffic control signal on the basis of this warrant, consideration shall first be given to the implementation of other remedial measures, such as warning signs and flashers, school speed zones, school crossing guards, or a grade-separated crossing. </t>
  </si>
  <si>
    <t>NOTE:</t>
  </si>
  <si>
    <t xml:space="preserve">Number of students crossing during highest crossing hour </t>
  </si>
  <si>
    <t xml:space="preserve"> minutes</t>
  </si>
  <si>
    <t>Revised 10/7/11</t>
  </si>
  <si>
    <t>Form TR-01a, Revised 10/7/11</t>
  </si>
  <si>
    <t>Form TR-01b, Revised 10/7/11</t>
  </si>
  <si>
    <t>Form TR-01, Revised 3/10/15</t>
  </si>
</sst>
</file>

<file path=xl/styles.xml><?xml version="1.0" encoding="utf-8"?>
<styleSheet xmlns="http://schemas.openxmlformats.org/spreadsheetml/2006/main">
  <numFmts count="4">
    <numFmt numFmtId="164" formatCode="mm/dd/yy"/>
    <numFmt numFmtId="165" formatCode="h\ AM/PM"/>
    <numFmt numFmtId="166" formatCode="0.0"/>
    <numFmt numFmtId="167" formatCode="[$-409]h:mm\ AM/PM;@"/>
  </numFmts>
  <fonts count="21">
    <font>
      <sz val="10"/>
      <name val="Arial"/>
    </font>
    <font>
      <b/>
      <sz val="12"/>
      <name val="Arial"/>
      <family val="2"/>
    </font>
    <font>
      <b/>
      <sz val="10"/>
      <name val="Arial"/>
      <family val="2"/>
    </font>
    <font>
      <sz val="8"/>
      <name val="Arial"/>
      <family val="2"/>
    </font>
    <font>
      <sz val="9"/>
      <name val="Arial"/>
      <family val="2"/>
    </font>
    <font>
      <sz val="12"/>
      <name val="Arial"/>
      <family val="2"/>
    </font>
    <font>
      <sz val="6"/>
      <name val="Arial"/>
      <family val="2"/>
    </font>
    <font>
      <sz val="8"/>
      <name val="Arial"/>
      <family val="2"/>
    </font>
    <font>
      <sz val="10"/>
      <name val="Arial"/>
      <family val="2"/>
    </font>
    <font>
      <vertAlign val="superscript"/>
      <sz val="8"/>
      <name val="Arial"/>
      <family val="2"/>
    </font>
    <font>
      <sz val="9"/>
      <name val="Arial"/>
      <family val="2"/>
    </font>
    <font>
      <b/>
      <sz val="9"/>
      <name val="Arial"/>
      <family val="2"/>
    </font>
    <font>
      <b/>
      <sz val="8"/>
      <name val="Arial"/>
      <family val="2"/>
    </font>
    <font>
      <sz val="10"/>
      <color rgb="FFFF0000"/>
      <name val="Arial"/>
      <family val="2"/>
    </font>
    <font>
      <sz val="10"/>
      <color rgb="FF00B050"/>
      <name val="Arial"/>
      <family val="2"/>
    </font>
    <font>
      <sz val="10"/>
      <name val="Verdana"/>
      <family val="2"/>
    </font>
    <font>
      <sz val="8"/>
      <name val="Verdana"/>
      <family val="2"/>
    </font>
    <font>
      <b/>
      <sz val="9"/>
      <name val="Verdana"/>
      <family val="2"/>
    </font>
    <font>
      <sz val="9"/>
      <name val="Verdana"/>
      <family val="2"/>
    </font>
    <font>
      <b/>
      <u/>
      <sz val="10"/>
      <name val="Arial"/>
      <family val="2"/>
    </font>
    <font>
      <b/>
      <sz val="10"/>
      <color rgb="FFFF0000"/>
      <name val="Arial"/>
      <family val="2"/>
    </font>
  </fonts>
  <fills count="3">
    <fill>
      <patternFill patternType="none"/>
    </fill>
    <fill>
      <patternFill patternType="gray125"/>
    </fill>
    <fill>
      <patternFill patternType="solid">
        <fgColor rgb="FFEDD5DB"/>
        <bgColor indexed="64"/>
      </patternFill>
    </fill>
  </fills>
  <borders count="5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rgb="FFCF8A9D"/>
      </left>
      <right style="medium">
        <color rgb="FFCF8A9D"/>
      </right>
      <top style="medium">
        <color rgb="FFCF8A9D"/>
      </top>
      <bottom/>
      <diagonal/>
    </border>
    <border>
      <left/>
      <right style="medium">
        <color rgb="FFCF8A9D"/>
      </right>
      <top style="medium">
        <color rgb="FFCF8A9D"/>
      </top>
      <bottom/>
      <diagonal/>
    </border>
    <border>
      <left/>
      <right/>
      <top style="medium">
        <color rgb="FFCF8A9D"/>
      </top>
      <bottom/>
      <diagonal/>
    </border>
    <border>
      <left style="medium">
        <color rgb="FFCF8A9D"/>
      </left>
      <right style="medium">
        <color rgb="FFCF8A9D"/>
      </right>
      <top style="medium">
        <color rgb="FFCF8A9D"/>
      </top>
      <bottom style="medium">
        <color rgb="FFCF8A9D"/>
      </bottom>
      <diagonal/>
    </border>
    <border>
      <left/>
      <right style="medium">
        <color rgb="FFCF8A9D"/>
      </right>
      <top style="medium">
        <color rgb="FFCF8A9D"/>
      </top>
      <bottom style="medium">
        <color rgb="FFCF8A9D"/>
      </bottom>
      <diagonal/>
    </border>
    <border>
      <left/>
      <right/>
      <top/>
      <bottom style="medium">
        <color rgb="FFCF8A9D"/>
      </bottom>
      <diagonal/>
    </border>
    <border>
      <left style="medium">
        <color rgb="FFCF8A9D"/>
      </left>
      <right/>
      <top style="medium">
        <color rgb="FFCF8A9D"/>
      </top>
      <bottom style="medium">
        <color rgb="FFCF8A9D"/>
      </bottom>
      <diagonal/>
    </border>
    <border>
      <left style="medium">
        <color rgb="FFCF8A9D"/>
      </left>
      <right style="medium">
        <color rgb="FFCF8A9D"/>
      </right>
      <top/>
      <bottom/>
      <diagonal/>
    </border>
    <border>
      <left style="medium">
        <color rgb="FFCF8A9D"/>
      </left>
      <right style="medium">
        <color rgb="FFCF8A9D"/>
      </right>
      <top/>
      <bottom style="medium">
        <color rgb="FFCF8A9D"/>
      </bottom>
      <diagonal/>
    </border>
  </borders>
  <cellStyleXfs count="1">
    <xf numFmtId="0" fontId="0" fillId="0" borderId="0"/>
  </cellStyleXfs>
  <cellXfs count="418">
    <xf numFmtId="0" fontId="0" fillId="0" borderId="0" xfId="0"/>
    <xf numFmtId="0" fontId="0" fillId="0" borderId="1" xfId="0" applyBorder="1" applyAlignment="1">
      <alignment horizontal="center"/>
    </xf>
    <xf numFmtId="0" fontId="0" fillId="0" borderId="1" xfId="0" applyBorder="1"/>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xf numFmtId="0" fontId="0" fillId="0" borderId="0" xfId="0" applyBorder="1"/>
    <xf numFmtId="0" fontId="0" fillId="0" borderId="6"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applyAlignment="1">
      <alignment horizontal="right"/>
    </xf>
    <xf numFmtId="0" fontId="0" fillId="0" borderId="0"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0" xfId="0" applyFont="1" applyBorder="1" applyAlignment="1">
      <alignment horizontal="center"/>
    </xf>
    <xf numFmtId="0" fontId="0" fillId="0" borderId="24" xfId="0" applyBorder="1" applyAlignment="1">
      <alignment horizontal="center"/>
    </xf>
    <xf numFmtId="0" fontId="1" fillId="0" borderId="0" xfId="0" applyFont="1" applyBorder="1"/>
    <xf numFmtId="0" fontId="2" fillId="0" borderId="0" xfId="0" applyFont="1" applyBorder="1"/>
    <xf numFmtId="0" fontId="2" fillId="0" borderId="0" xfId="0" applyFont="1" applyBorder="1" applyAlignment="1">
      <alignment horizontal="right"/>
    </xf>
    <xf numFmtId="0" fontId="0" fillId="0" borderId="25" xfId="0" applyBorder="1"/>
    <xf numFmtId="0" fontId="0" fillId="0" borderId="0" xfId="0" applyBorder="1" applyAlignment="1">
      <alignment horizontal="left" vertical="center"/>
    </xf>
    <xf numFmtId="0" fontId="0" fillId="0" borderId="0" xfId="0" applyBorder="1" applyAlignment="1"/>
    <xf numFmtId="0" fontId="2" fillId="0" borderId="0" xfId="0" applyFont="1" applyBorder="1" applyAlignment="1">
      <alignment horizontal="left"/>
    </xf>
    <xf numFmtId="0" fontId="0" fillId="0" borderId="0" xfId="0" applyAlignment="1"/>
    <xf numFmtId="0" fontId="0" fillId="0" borderId="23" xfId="0" applyBorder="1" applyAlignment="1">
      <alignment horizontal="left" vertical="center"/>
    </xf>
    <xf numFmtId="0" fontId="0" fillId="0" borderId="23" xfId="0" applyBorder="1"/>
    <xf numFmtId="0" fontId="0" fillId="0" borderId="26" xfId="0" applyBorder="1"/>
    <xf numFmtId="0" fontId="0" fillId="0" borderId="27" xfId="0" applyBorder="1"/>
    <xf numFmtId="0" fontId="0" fillId="0" borderId="28" xfId="0" applyBorder="1"/>
    <xf numFmtId="0" fontId="0" fillId="0" borderId="3" xfId="0" applyBorder="1"/>
    <xf numFmtId="0" fontId="0" fillId="0" borderId="1" xfId="0" applyBorder="1" applyAlignment="1">
      <alignment horizontal="right"/>
    </xf>
    <xf numFmtId="0" fontId="2" fillId="0" borderId="1" xfId="0" applyFont="1" applyBorder="1" applyAlignment="1">
      <alignment horizontal="right"/>
    </xf>
    <xf numFmtId="0" fontId="2" fillId="0" borderId="4" xfId="0" applyFont="1" applyBorder="1" applyAlignment="1">
      <alignment horizontal="right"/>
    </xf>
    <xf numFmtId="0" fontId="0" fillId="0" borderId="22" xfId="0" applyBorder="1"/>
    <xf numFmtId="0" fontId="0" fillId="0" borderId="4" xfId="0" applyBorder="1"/>
    <xf numFmtId="0" fontId="0" fillId="0" borderId="28" xfId="0" applyBorder="1" applyAlignment="1">
      <alignment horizont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29" xfId="0" applyBorder="1"/>
    <xf numFmtId="0" fontId="0" fillId="0" borderId="30" xfId="0" applyBorder="1"/>
    <xf numFmtId="0" fontId="0" fillId="0" borderId="21" xfId="0" applyBorder="1"/>
    <xf numFmtId="0" fontId="0" fillId="0" borderId="5" xfId="0" applyBorder="1" applyAlignment="1"/>
    <xf numFmtId="0" fontId="0" fillId="0" borderId="6" xfId="0" applyBorder="1" applyAlignment="1"/>
    <xf numFmtId="0" fontId="0" fillId="0" borderId="26"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0" fillId="0" borderId="30" xfId="0" applyBorder="1" applyAlignment="1">
      <alignment horizontal="center"/>
    </xf>
    <xf numFmtId="0" fontId="2" fillId="0" borderId="0" xfId="0" applyFont="1" applyBorder="1" applyAlignment="1">
      <alignment horizontal="center"/>
    </xf>
    <xf numFmtId="0" fontId="0" fillId="0" borderId="16" xfId="0" applyBorder="1" applyAlignment="1">
      <alignment horizontal="left" vertical="center"/>
    </xf>
    <xf numFmtId="0" fontId="2" fillId="0" borderId="16" xfId="0" applyFont="1" applyBorder="1" applyAlignment="1">
      <alignment horizontal="center" vertical="center"/>
    </xf>
    <xf numFmtId="0" fontId="2" fillId="0" borderId="16" xfId="0" applyFont="1" applyBorder="1" applyAlignment="1">
      <alignment horizontal="left" vertical="center"/>
    </xf>
    <xf numFmtId="0" fontId="0" fillId="0" borderId="0" xfId="0" applyAlignment="1">
      <alignment horizontal="center"/>
    </xf>
    <xf numFmtId="0" fontId="0" fillId="0" borderId="28" xfId="0" applyBorder="1" applyAlignment="1">
      <alignment horizontal="right"/>
    </xf>
    <xf numFmtId="0" fontId="0" fillId="0" borderId="3" xfId="0" applyBorder="1" applyAlignment="1">
      <alignment horizontal="right"/>
    </xf>
    <xf numFmtId="0" fontId="2" fillId="0" borderId="1" xfId="0" applyFont="1" applyBorder="1" applyAlignment="1">
      <alignment horizontal="center"/>
    </xf>
    <xf numFmtId="0" fontId="2" fillId="0" borderId="4" xfId="0" applyFont="1" applyBorder="1" applyAlignment="1">
      <alignment horizontal="center"/>
    </xf>
    <xf numFmtId="0" fontId="0" fillId="0" borderId="29" xfId="0" applyBorder="1" applyAlignment="1">
      <alignment horizontal="right"/>
    </xf>
    <xf numFmtId="0" fontId="0" fillId="0" borderId="30" xfId="0" applyBorder="1" applyAlignment="1">
      <alignment horizontal="right"/>
    </xf>
    <xf numFmtId="0" fontId="2" fillId="0" borderId="0" xfId="0" applyFont="1" applyAlignment="1">
      <alignment horizontal="center"/>
    </xf>
    <xf numFmtId="0" fontId="0" fillId="0" borderId="12" xfId="0" applyBorder="1" applyAlignment="1"/>
    <xf numFmtId="0" fontId="0" fillId="0" borderId="9" xfId="0" applyBorder="1" applyAlignment="1"/>
    <xf numFmtId="0" fontId="2" fillId="0" borderId="30" xfId="0" applyFont="1" applyBorder="1" applyAlignment="1">
      <alignment horizontal="center"/>
    </xf>
    <xf numFmtId="18" fontId="0" fillId="0" borderId="0" xfId="0" applyNumberFormat="1" applyAlignment="1">
      <alignment horizontal="center"/>
    </xf>
    <xf numFmtId="0" fontId="0" fillId="0" borderId="30" xfId="0" applyBorder="1" applyAlignment="1">
      <alignment horizontal="left"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6" fillId="0" borderId="0" xfId="0" applyFont="1" applyBorder="1" applyAlignment="1">
      <alignment horizontal="left" wrapText="1"/>
    </xf>
    <xf numFmtId="0" fontId="2" fillId="0" borderId="27" xfId="0" applyFont="1" applyBorder="1" applyAlignment="1">
      <alignment horizontal="right"/>
    </xf>
    <xf numFmtId="0" fontId="0" fillId="0" borderId="31" xfId="0" applyBorder="1"/>
    <xf numFmtId="1" fontId="0" fillId="0" borderId="0" xfId="0" applyNumberFormat="1" applyAlignment="1">
      <alignment horizontal="center"/>
    </xf>
    <xf numFmtId="164" fontId="0" fillId="0" borderId="0" xfId="0" applyNumberFormat="1" applyBorder="1" applyAlignment="1">
      <alignment horizontal="center"/>
    </xf>
    <xf numFmtId="0" fontId="0" fillId="0" borderId="24" xfId="0" quotePrefix="1" applyBorder="1" applyAlignment="1">
      <alignment horizontal="center" vertical="center"/>
    </xf>
    <xf numFmtId="0" fontId="8" fillId="0" borderId="2" xfId="0" applyFont="1" applyBorder="1" applyAlignment="1">
      <alignment horizontal="center" vertical="center"/>
    </xf>
    <xf numFmtId="0" fontId="3" fillId="0" borderId="29" xfId="0" applyFont="1" applyBorder="1" applyAlignment="1">
      <alignment horizontal="left" vertical="center"/>
    </xf>
    <xf numFmtId="0" fontId="7" fillId="0" borderId="29" xfId="0" applyFont="1" applyBorder="1"/>
    <xf numFmtId="0" fontId="3" fillId="0" borderId="0" xfId="0" applyFont="1" applyBorder="1"/>
    <xf numFmtId="0" fontId="3" fillId="0" borderId="22" xfId="0" applyFont="1" applyBorder="1" applyAlignment="1">
      <alignment horizontal="left" vertical="center"/>
    </xf>
    <xf numFmtId="0" fontId="9" fillId="0" borderId="0" xfId="0" applyFont="1" applyBorder="1"/>
    <xf numFmtId="0" fontId="7" fillId="0" borderId="22" xfId="0" applyFont="1" applyBorder="1" applyAlignment="1">
      <alignment horizontal="left" vertical="center"/>
    </xf>
    <xf numFmtId="0" fontId="7" fillId="0" borderId="28" xfId="0" applyFont="1" applyBorder="1" applyAlignment="1">
      <alignment horizontal="left" vertical="center"/>
    </xf>
    <xf numFmtId="0" fontId="10" fillId="0" borderId="1" xfId="0" applyFont="1" applyBorder="1" applyAlignment="1">
      <alignment horizontal="center"/>
    </xf>
    <xf numFmtId="0" fontId="10" fillId="0" borderId="4" xfId="0" applyFont="1" applyBorder="1" applyAlignment="1">
      <alignment horizontal="center"/>
    </xf>
    <xf numFmtId="0" fontId="11" fillId="0" borderId="4" xfId="0" applyFont="1" applyBorder="1" applyAlignment="1">
      <alignment horizontal="right"/>
    </xf>
    <xf numFmtId="0" fontId="7" fillId="0" borderId="22" xfId="0" applyFont="1" applyBorder="1"/>
    <xf numFmtId="0" fontId="7" fillId="0" borderId="3" xfId="0" applyFont="1" applyBorder="1"/>
    <xf numFmtId="0" fontId="12" fillId="0" borderId="1" xfId="0" applyFont="1" applyBorder="1" applyAlignment="1">
      <alignment horizontal="right"/>
    </xf>
    <xf numFmtId="0" fontId="7" fillId="0" borderId="28" xfId="0" applyFont="1" applyBorder="1"/>
    <xf numFmtId="0" fontId="10" fillId="0" borderId="34" xfId="0" applyFont="1" applyBorder="1" applyAlignment="1">
      <alignment horizontal="center"/>
    </xf>
    <xf numFmtId="0" fontId="2" fillId="0" borderId="0" xfId="0" applyFont="1" applyBorder="1" applyAlignment="1">
      <alignment horizontal="center" vertical="center"/>
    </xf>
    <xf numFmtId="0" fontId="10" fillId="0" borderId="1" xfId="0" applyFont="1" applyBorder="1" applyAlignment="1">
      <alignment horizontal="right"/>
    </xf>
    <xf numFmtId="0" fontId="2" fillId="0" borderId="1" xfId="0" applyFont="1" applyBorder="1" applyAlignment="1">
      <alignment horizontal="center" vertical="center"/>
    </xf>
    <xf numFmtId="0" fontId="2" fillId="0" borderId="23" xfId="0" applyFont="1" applyBorder="1" applyAlignment="1">
      <alignment horizontal="right"/>
    </xf>
    <xf numFmtId="9" fontId="0" fillId="0" borderId="0" xfId="0" applyNumberFormat="1" applyBorder="1" applyAlignment="1">
      <alignment horizontal="center"/>
    </xf>
    <xf numFmtId="18" fontId="8" fillId="0" borderId="0" xfId="0" applyNumberFormat="1"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0" fontId="2" fillId="0" borderId="2" xfId="0" applyNumberFormat="1"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10" fillId="0" borderId="0" xfId="0" applyFont="1" applyBorder="1" applyAlignment="1">
      <alignment horizontal="center" vertical="center" wrapText="1"/>
    </xf>
    <xf numFmtId="0" fontId="0" fillId="0" borderId="0" xfId="0" applyBorder="1" applyAlignment="1">
      <alignment horizontal="center"/>
    </xf>
    <xf numFmtId="165" fontId="0" fillId="0" borderId="0" xfId="0" applyNumberFormat="1" applyAlignment="1">
      <alignment horizontal="center"/>
    </xf>
    <xf numFmtId="165" fontId="0" fillId="0" borderId="0" xfId="0" applyNumberFormat="1" applyBorder="1" applyAlignment="1">
      <alignment horizontal="center"/>
    </xf>
    <xf numFmtId="165" fontId="0" fillId="0" borderId="24" xfId="0" quotePrefix="1" applyNumberFormat="1" applyBorder="1" applyAlignment="1">
      <alignment horizontal="center"/>
    </xf>
    <xf numFmtId="165" fontId="0" fillId="0" borderId="24" xfId="0" applyNumberFormat="1" applyBorder="1" applyAlignment="1">
      <alignment horizontal="center"/>
    </xf>
    <xf numFmtId="0" fontId="8" fillId="0" borderId="0" xfId="0" applyFont="1"/>
    <xf numFmtId="0" fontId="3" fillId="0" borderId="0" xfId="0" applyFont="1" applyBorder="1" applyAlignment="1">
      <alignment horizontal="left"/>
    </xf>
    <xf numFmtId="165" fontId="0" fillId="0" borderId="3" xfId="0" applyNumberFormat="1" applyBorder="1" applyAlignment="1">
      <alignment horizontal="center"/>
    </xf>
    <xf numFmtId="0" fontId="10" fillId="0" borderId="0" xfId="0" applyFont="1" applyBorder="1" applyAlignment="1">
      <alignment vertical="center"/>
    </xf>
    <xf numFmtId="0" fontId="0" fillId="0" borderId="0" xfId="0" applyAlignment="1">
      <alignment horizontal="center"/>
    </xf>
    <xf numFmtId="0" fontId="8" fillId="0" borderId="23" xfId="0" applyFont="1" applyBorder="1" applyAlignment="1">
      <alignment horizontal="center"/>
    </xf>
    <xf numFmtId="0" fontId="8" fillId="0" borderId="0" xfId="0" applyFont="1" applyAlignment="1">
      <alignment horizontal="center"/>
    </xf>
    <xf numFmtId="0" fontId="10" fillId="0" borderId="0" xfId="0" applyFont="1" applyBorder="1" applyAlignment="1">
      <alignment horizontal="right"/>
    </xf>
    <xf numFmtId="0" fontId="0" fillId="0" borderId="31" xfId="0" applyBorder="1" applyAlignment="1" applyProtection="1">
      <alignment horizontal="center"/>
      <protection locked="0"/>
    </xf>
    <xf numFmtId="2" fontId="0" fillId="0" borderId="9" xfId="0" applyNumberFormat="1" applyBorder="1" applyAlignment="1" applyProtection="1">
      <alignment horizontal="center"/>
      <protection locked="0"/>
    </xf>
    <xf numFmtId="0" fontId="0" fillId="0" borderId="9"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8"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0" xfId="0" applyProtection="1"/>
    <xf numFmtId="0" fontId="2" fillId="0" borderId="2" xfId="0" applyFont="1" applyBorder="1" applyAlignment="1" applyProtection="1">
      <alignment horizontal="center" vertical="center"/>
      <protection locked="0"/>
    </xf>
    <xf numFmtId="0" fontId="0" fillId="0" borderId="11" xfId="0" applyBorder="1" applyProtection="1">
      <protection locked="0"/>
    </xf>
    <xf numFmtId="18" fontId="0" fillId="0" borderId="0" xfId="0" applyNumberFormat="1" applyAlignment="1" applyProtection="1">
      <alignment horizontal="center"/>
      <protection locked="0"/>
    </xf>
    <xf numFmtId="0" fontId="6" fillId="0" borderId="11" xfId="0" applyFont="1" applyBorder="1" applyAlignment="1">
      <alignment horizontal="left" vertical="top"/>
    </xf>
    <xf numFmtId="0" fontId="6" fillId="0" borderId="13" xfId="0" applyFont="1" applyBorder="1" applyAlignment="1">
      <alignment horizontal="right" vertical="top"/>
    </xf>
    <xf numFmtId="0" fontId="6" fillId="0" borderId="12" xfId="0" applyFont="1" applyBorder="1" applyAlignment="1">
      <alignment horizontal="left" vertical="top"/>
    </xf>
    <xf numFmtId="0" fontId="6" fillId="0" borderId="12" xfId="0" applyFont="1" applyBorder="1" applyAlignment="1">
      <alignment horizontal="right" vertical="top"/>
    </xf>
    <xf numFmtId="0" fontId="6" fillId="0" borderId="0" xfId="0" applyFont="1" applyAlignment="1">
      <alignment horizontal="left" vertical="top"/>
    </xf>
    <xf numFmtId="0" fontId="14" fillId="0" borderId="0" xfId="0" applyFont="1"/>
    <xf numFmtId="0" fontId="13" fillId="0" borderId="0" xfId="0" applyFont="1"/>
    <xf numFmtId="0" fontId="0" fillId="0" borderId="2" xfId="0" applyBorder="1" applyAlignment="1">
      <alignment horizontal="center"/>
    </xf>
    <xf numFmtId="0" fontId="0" fillId="0" borderId="29" xfId="0" applyBorder="1" applyAlignment="1">
      <alignment horizontal="center"/>
    </xf>
    <xf numFmtId="0" fontId="0" fillId="0" borderId="0" xfId="0" applyBorder="1" applyAlignment="1">
      <alignment horizontal="center"/>
    </xf>
    <xf numFmtId="165" fontId="0" fillId="0" borderId="3" xfId="0" applyNumberFormat="1" applyBorder="1" applyAlignment="1">
      <alignment horizontal="center"/>
    </xf>
    <xf numFmtId="0" fontId="0" fillId="0" borderId="3" xfId="0" applyBorder="1" applyAlignment="1">
      <alignment horizontal="center"/>
    </xf>
    <xf numFmtId="0" fontId="0" fillId="0" borderId="29" xfId="0" applyBorder="1" applyAlignment="1">
      <alignment horizontal="center" vertical="center"/>
    </xf>
    <xf numFmtId="0" fontId="0" fillId="0" borderId="0" xfId="0" applyAlignment="1">
      <alignment horizontal="center"/>
    </xf>
    <xf numFmtId="0" fontId="0" fillId="0" borderId="9" xfId="0" applyBorder="1" applyAlignment="1" applyProtection="1">
      <alignment horizontal="center"/>
      <protection locked="0"/>
    </xf>
    <xf numFmtId="0" fontId="0" fillId="0" borderId="5"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8" fillId="0" borderId="0" xfId="0" applyFont="1" applyAlignment="1">
      <alignment horizont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8" fillId="0" borderId="49" xfId="0" applyFont="1" applyBorder="1" applyAlignment="1">
      <alignment horizontal="center" wrapText="1"/>
    </xf>
    <xf numFmtId="0" fontId="18" fillId="0" borderId="50" xfId="0" applyFont="1" applyBorder="1" applyAlignment="1">
      <alignment horizontal="center" wrapText="1"/>
    </xf>
    <xf numFmtId="0" fontId="18" fillId="0" borderId="52" xfId="0" applyFont="1" applyBorder="1" applyAlignment="1">
      <alignment horizontal="center" wrapText="1"/>
    </xf>
    <xf numFmtId="0" fontId="18" fillId="0" borderId="53" xfId="0" applyFont="1" applyBorder="1" applyAlignment="1">
      <alignment horizontal="center" wrapText="1"/>
    </xf>
    <xf numFmtId="0" fontId="0" fillId="0" borderId="0" xfId="0"/>
    <xf numFmtId="0" fontId="17" fillId="2" borderId="56" xfId="0" applyFont="1" applyFill="1" applyBorder="1" applyAlignment="1">
      <alignment horizontal="center" vertical="center" wrapText="1"/>
    </xf>
    <xf numFmtId="9" fontId="18" fillId="0" borderId="49" xfId="0" applyNumberFormat="1" applyFont="1" applyBorder="1" applyAlignment="1">
      <alignment horizontal="center" wrapText="1"/>
    </xf>
    <xf numFmtId="0" fontId="17" fillId="2" borderId="49" xfId="0" applyFont="1" applyFill="1" applyBorder="1" applyAlignment="1">
      <alignment horizontal="center" wrapText="1"/>
    </xf>
    <xf numFmtId="0" fontId="17" fillId="2" borderId="56" xfId="0" applyFont="1" applyFill="1" applyBorder="1" applyAlignment="1">
      <alignment horizontal="center" wrapText="1"/>
    </xf>
    <xf numFmtId="0" fontId="17" fillId="2" borderId="50" xfId="0" applyFont="1" applyFill="1" applyBorder="1" applyAlignment="1">
      <alignment horizontal="center" wrapText="1"/>
    </xf>
    <xf numFmtId="0" fontId="1" fillId="0" borderId="0" xfId="0" applyFont="1" applyBorder="1" applyAlignment="1"/>
    <xf numFmtId="0" fontId="0" fillId="0" borderId="0" xfId="0" applyAlignment="1">
      <alignment horizontal="center" vertical="center"/>
    </xf>
    <xf numFmtId="0" fontId="8" fillId="0" borderId="5" xfId="0" applyFont="1" applyBorder="1" applyAlignment="1">
      <alignment wrapText="1"/>
    </xf>
    <xf numFmtId="0" fontId="8" fillId="0" borderId="5" xfId="0" applyFont="1" applyBorder="1" applyAlignment="1">
      <alignment horizontal="center" wrapText="1"/>
    </xf>
    <xf numFmtId="0" fontId="6" fillId="0" borderId="0" xfId="0" applyFont="1" applyBorder="1" applyAlignment="1">
      <alignment horizontal="left" vertical="top"/>
    </xf>
    <xf numFmtId="0" fontId="6" fillId="0" borderId="0" xfId="0" applyFont="1" applyBorder="1" applyAlignment="1">
      <alignment horizontal="right" vertical="top"/>
    </xf>
    <xf numFmtId="0" fontId="6" fillId="0" borderId="5" xfId="0" applyFont="1" applyBorder="1" applyAlignment="1" applyProtection="1">
      <alignment vertical="top"/>
      <protection locked="0"/>
    </xf>
    <xf numFmtId="0" fontId="3" fillId="0" borderId="29" xfId="0" applyFont="1" applyBorder="1" applyAlignment="1">
      <alignment vertical="center"/>
    </xf>
    <xf numFmtId="0" fontId="3" fillId="0" borderId="21" xfId="0" applyFont="1" applyBorder="1" applyAlignment="1">
      <alignment vertical="center"/>
    </xf>
    <xf numFmtId="0" fontId="0" fillId="0" borderId="21" xfId="0" applyBorder="1" applyAlignment="1">
      <alignment horizontal="left" vertical="center"/>
    </xf>
    <xf numFmtId="0" fontId="8" fillId="0" borderId="0" xfId="0" applyFont="1" applyBorder="1" applyAlignment="1"/>
    <xf numFmtId="0" fontId="0" fillId="0" borderId="0" xfId="0" applyBorder="1" applyAlignment="1">
      <alignment vertical="center"/>
    </xf>
    <xf numFmtId="0" fontId="0" fillId="0" borderId="0" xfId="0" applyAlignment="1">
      <alignment horizontal="center"/>
    </xf>
    <xf numFmtId="0" fontId="0" fillId="0" borderId="0" xfId="0"/>
    <xf numFmtId="0" fontId="4" fillId="0" borderId="0" xfId="0" applyFont="1"/>
    <xf numFmtId="0" fontId="3" fillId="0" borderId="0" xfId="0" applyFont="1"/>
    <xf numFmtId="0" fontId="3" fillId="0" borderId="0" xfId="0" applyFont="1" applyAlignment="1"/>
    <xf numFmtId="0" fontId="3" fillId="0" borderId="0" xfId="0" applyFont="1" applyBorder="1" applyAlignment="1"/>
    <xf numFmtId="0" fontId="3" fillId="0" borderId="0" xfId="0" applyFont="1" applyBorder="1" applyAlignment="1">
      <alignment horizontal="right"/>
    </xf>
    <xf numFmtId="0" fontId="19" fillId="0" borderId="0" xfId="0" applyFont="1"/>
    <xf numFmtId="0" fontId="8" fillId="0" borderId="1" xfId="0" applyFont="1" applyBorder="1" applyAlignment="1">
      <alignment horizontal="center"/>
    </xf>
    <xf numFmtId="0" fontId="0" fillId="0" borderId="0" xfId="0" applyAlignment="1">
      <alignment horizontal="right"/>
    </xf>
    <xf numFmtId="0" fontId="0" fillId="0" borderId="0" xfId="0" applyFont="1" applyAlignment="1">
      <alignment horizontal="center"/>
    </xf>
    <xf numFmtId="0" fontId="8" fillId="0" borderId="0" xfId="0" applyFont="1" applyAlignment="1">
      <alignment horizontal="center" vertical="center"/>
    </xf>
    <xf numFmtId="0" fontId="0" fillId="0" borderId="0" xfId="0" applyAlignment="1">
      <alignment horizontal="center"/>
    </xf>
    <xf numFmtId="0" fontId="0" fillId="0" borderId="0" xfId="0"/>
    <xf numFmtId="0" fontId="8"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xf numFmtId="0" fontId="4" fillId="0" borderId="0" xfId="0" applyFont="1" applyBorder="1" applyAlignment="1"/>
    <xf numFmtId="0" fontId="0" fillId="0" borderId="9" xfId="0" applyBorder="1" applyAlignment="1" applyProtection="1">
      <alignment horizontal="center"/>
      <protection locked="0"/>
    </xf>
    <xf numFmtId="0" fontId="0" fillId="0" borderId="0" xfId="0"/>
    <xf numFmtId="0" fontId="0" fillId="0" borderId="0" xfId="0" applyBorder="1" applyAlignment="1">
      <alignment horizontal="center"/>
    </xf>
    <xf numFmtId="0" fontId="0" fillId="0" borderId="9" xfId="0" applyBorder="1" applyAlignment="1" applyProtection="1">
      <alignment horizontal="center"/>
      <protection locked="0"/>
    </xf>
    <xf numFmtId="0" fontId="0" fillId="0" borderId="29"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165" fontId="0" fillId="0" borderId="3" xfId="0" applyNumberFormat="1" applyBorder="1" applyAlignment="1">
      <alignment horizontal="center"/>
    </xf>
    <xf numFmtId="0" fontId="0" fillId="0" borderId="29" xfId="0" applyBorder="1" applyAlignment="1">
      <alignment horizontal="center" vertical="center"/>
    </xf>
    <xf numFmtId="0" fontId="0" fillId="0" borderId="0" xfId="0" applyAlignment="1">
      <alignment horizontal="center"/>
    </xf>
    <xf numFmtId="0" fontId="8" fillId="0" borderId="0" xfId="0" applyFont="1" applyBorder="1" applyAlignment="1">
      <alignment horizontal="right"/>
    </xf>
    <xf numFmtId="0" fontId="0" fillId="0" borderId="0" xfId="0" applyBorder="1" applyAlignment="1">
      <alignment horizontal="right"/>
    </xf>
    <xf numFmtId="0" fontId="8" fillId="0" borderId="1" xfId="0" applyFont="1" applyBorder="1" applyAlignment="1">
      <alignment horizontal="center"/>
    </xf>
    <xf numFmtId="0" fontId="0" fillId="0" borderId="0" xfId="0" applyBorder="1" applyAlignment="1" applyProtection="1">
      <alignment horizontal="center"/>
      <protection locked="0"/>
    </xf>
    <xf numFmtId="0" fontId="2" fillId="0" borderId="2" xfId="0" applyFont="1" applyBorder="1" applyAlignment="1" applyProtection="1">
      <alignment horizontal="center" vertical="center"/>
    </xf>
    <xf numFmtId="0" fontId="0" fillId="0" borderId="0" xfId="0" applyBorder="1" applyProtection="1"/>
    <xf numFmtId="0" fontId="2" fillId="0" borderId="0" xfId="0" applyFont="1" applyBorder="1" applyAlignment="1" applyProtection="1">
      <alignment horizontal="center" vertical="center"/>
    </xf>
    <xf numFmtId="0" fontId="6" fillId="0" borderId="11" xfId="0" applyFont="1" applyBorder="1" applyAlignment="1" applyProtection="1">
      <alignment vertical="top"/>
      <protection locked="0"/>
    </xf>
    <xf numFmtId="0" fontId="8" fillId="0" borderId="0" xfId="0" applyFont="1" applyBorder="1"/>
    <xf numFmtId="0" fontId="19" fillId="0" borderId="0" xfId="0" applyFont="1" applyBorder="1"/>
    <xf numFmtId="0" fontId="4" fillId="0" borderId="0" xfId="0" applyFont="1" applyBorder="1"/>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8" fillId="0" borderId="0" xfId="0" applyFont="1" applyAlignment="1">
      <alignment horizontal="center"/>
    </xf>
    <xf numFmtId="1" fontId="0" fillId="0" borderId="0" xfId="0" applyNumberFormat="1"/>
    <xf numFmtId="0" fontId="0" fillId="0" borderId="0" xfId="0" applyFill="1" applyBorder="1" applyAlignment="1">
      <alignment horizontal="center"/>
    </xf>
    <xf numFmtId="18" fontId="0" fillId="0" borderId="0" xfId="0" quotePrefix="1" applyNumberFormat="1"/>
    <xf numFmtId="0" fontId="6" fillId="0" borderId="12" xfId="0" applyFont="1" applyBorder="1" applyAlignment="1">
      <alignment horizontal="left"/>
    </xf>
    <xf numFmtId="0" fontId="6" fillId="0" borderId="12" xfId="0" applyFont="1" applyBorder="1" applyAlignment="1">
      <alignment horizontal="right"/>
    </xf>
    <xf numFmtId="0" fontId="6" fillId="0" borderId="11" xfId="0" applyFont="1" applyBorder="1" applyAlignment="1">
      <alignment horizontal="left"/>
    </xf>
    <xf numFmtId="0" fontId="6" fillId="0" borderId="13" xfId="0" applyFont="1" applyBorder="1" applyAlignment="1">
      <alignment horizontal="right"/>
    </xf>
    <xf numFmtId="0" fontId="6" fillId="0" borderId="11" xfId="0" applyFont="1" applyBorder="1" applyAlignment="1">
      <alignment horizontal="left" vertical="center"/>
    </xf>
    <xf numFmtId="0" fontId="6" fillId="0" borderId="13" xfId="0" applyFont="1" applyBorder="1" applyAlignment="1">
      <alignment horizontal="right" vertical="center"/>
    </xf>
    <xf numFmtId="166" fontId="0" fillId="0" borderId="0" xfId="0" applyNumberFormat="1" applyBorder="1" applyAlignment="1">
      <alignment horizontal="center"/>
    </xf>
    <xf numFmtId="2" fontId="0" fillId="0" borderId="0" xfId="0" applyNumberFormat="1" applyAlignment="1">
      <alignment horizontal="center"/>
    </xf>
    <xf numFmtId="0" fontId="0" fillId="0" borderId="0" xfId="0"/>
    <xf numFmtId="0" fontId="3" fillId="0" borderId="3" xfId="0" applyFont="1" applyBorder="1"/>
    <xf numFmtId="0" fontId="12" fillId="0" borderId="1" xfId="0" applyFont="1" applyBorder="1" applyAlignment="1"/>
    <xf numFmtId="0" fontId="3" fillId="0" borderId="28" xfId="0" applyFont="1" applyBorder="1" applyAlignment="1">
      <alignment horizontal="left" vertical="center"/>
    </xf>
    <xf numFmtId="0" fontId="3" fillId="0" borderId="22" xfId="0" applyFont="1" applyBorder="1"/>
    <xf numFmtId="0" fontId="3" fillId="0" borderId="28" xfId="0" applyFont="1" applyBorder="1"/>
    <xf numFmtId="0" fontId="0" fillId="0" borderId="0" xfId="0" applyBorder="1" applyAlignment="1">
      <alignment horizontal="center"/>
    </xf>
    <xf numFmtId="0" fontId="0" fillId="0" borderId="0" xfId="0"/>
    <xf numFmtId="0" fontId="8" fillId="0" borderId="0" xfId="0" applyFont="1" applyBorder="1" applyAlignment="1">
      <alignment horizontal="right"/>
    </xf>
    <xf numFmtId="0" fontId="0" fillId="0" borderId="0" xfId="0" applyBorder="1" applyAlignment="1">
      <alignment horizontal="right"/>
    </xf>
    <xf numFmtId="0" fontId="0" fillId="0" borderId="2" xfId="0" applyBorder="1" applyAlignment="1">
      <alignment horizontal="center"/>
    </xf>
    <xf numFmtId="0" fontId="0" fillId="0" borderId="9" xfId="0" applyBorder="1" applyAlignment="1">
      <alignment horizontal="center"/>
    </xf>
    <xf numFmtId="0" fontId="0" fillId="0" borderId="9" xfId="0" applyBorder="1" applyAlignment="1" applyProtection="1">
      <alignment horizontal="center"/>
      <protection locked="0"/>
    </xf>
    <xf numFmtId="0" fontId="1" fillId="0" borderId="0" xfId="0" applyFont="1" applyBorder="1" applyAlignment="1">
      <alignment horizontal="center"/>
    </xf>
    <xf numFmtId="0" fontId="1" fillId="0" borderId="6"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8" fillId="0" borderId="0" xfId="0" applyFont="1" applyBorder="1" applyAlignment="1">
      <alignment horizontal="center"/>
    </xf>
    <xf numFmtId="0" fontId="0" fillId="0" borderId="0" xfId="0"/>
    <xf numFmtId="0" fontId="0" fillId="0" borderId="0" xfId="0" applyBorder="1" applyAlignment="1">
      <alignment horizontal="right"/>
    </xf>
    <xf numFmtId="0" fontId="2" fillId="0" borderId="0" xfId="0" applyFont="1" applyBorder="1" applyAlignment="1">
      <alignment horizontal="center"/>
    </xf>
    <xf numFmtId="0" fontId="2" fillId="0" borderId="30" xfId="0" applyFont="1" applyBorder="1" applyAlignment="1">
      <alignment horizontal="center"/>
    </xf>
    <xf numFmtId="166" fontId="0" fillId="0" borderId="1" xfId="0" applyNumberFormat="1" applyBorder="1" applyAlignment="1">
      <alignment horizontal="center"/>
    </xf>
    <xf numFmtId="0" fontId="3" fillId="0" borderId="0" xfId="0" applyFont="1" applyBorder="1" applyAlignment="1">
      <alignment vertical="top"/>
    </xf>
    <xf numFmtId="0" fontId="8" fillId="0" borderId="0" xfId="0" applyFont="1" applyBorder="1" applyAlignment="1">
      <alignment vertical="top"/>
    </xf>
    <xf numFmtId="0" fontId="8" fillId="0" borderId="0" xfId="0" applyFont="1" applyBorder="1" applyAlignment="1">
      <alignment horizontal="left"/>
    </xf>
    <xf numFmtId="0" fontId="3" fillId="0" borderId="0" xfId="0" applyFont="1" applyBorder="1" applyAlignment="1">
      <alignment vertical="center"/>
    </xf>
    <xf numFmtId="166" fontId="8" fillId="0" borderId="0" xfId="0" applyNumberFormat="1" applyFont="1" applyBorder="1" applyAlignment="1">
      <alignment horizontal="right"/>
    </xf>
    <xf numFmtId="1" fontId="8" fillId="0" borderId="0" xfId="0" applyNumberFormat="1" applyFont="1" applyBorder="1" applyAlignment="1"/>
    <xf numFmtId="0" fontId="8" fillId="0" borderId="1" xfId="0" applyNumberFormat="1" applyFont="1" applyBorder="1" applyAlignment="1">
      <alignment horizontal="center"/>
    </xf>
    <xf numFmtId="0" fontId="3" fillId="0" borderId="1" xfId="0" applyFont="1" applyBorder="1" applyAlignment="1">
      <alignment horizontal="right"/>
    </xf>
    <xf numFmtId="0" fontId="0" fillId="0" borderId="4" xfId="0" applyBorder="1" applyAlignment="1">
      <alignment horizontal="right"/>
    </xf>
    <xf numFmtId="0" fontId="2" fillId="0" borderId="0" xfId="0" applyFont="1" applyBorder="1" applyAlignment="1"/>
    <xf numFmtId="0" fontId="0" fillId="0" borderId="12" xfId="0" applyBorder="1" applyAlignment="1">
      <alignment horizontal="center"/>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top"/>
      <protection locked="0"/>
    </xf>
    <xf numFmtId="0" fontId="5" fillId="0" borderId="6" xfId="0" applyFont="1" applyBorder="1" applyAlignment="1">
      <alignment horizontal="center"/>
    </xf>
    <xf numFmtId="0" fontId="2" fillId="0" borderId="0" xfId="0" applyFont="1" applyFill="1" applyBorder="1"/>
    <xf numFmtId="1"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1" xfId="0" applyBorder="1" applyProtection="1"/>
    <xf numFmtId="0" fontId="12" fillId="0" borderId="1" xfId="0" applyFont="1" applyBorder="1" applyAlignment="1">
      <alignment horizontal="right"/>
    </xf>
    <xf numFmtId="0" fontId="10" fillId="0" borderId="1" xfId="0" applyFont="1" applyBorder="1" applyAlignment="1">
      <alignment horizontal="center"/>
    </xf>
    <xf numFmtId="0" fontId="0" fillId="0" borderId="0" xfId="0"/>
    <xf numFmtId="0" fontId="0" fillId="0" borderId="0" xfId="0" applyBorder="1" applyAlignment="1" applyProtection="1">
      <alignment horizontal="center"/>
    </xf>
    <xf numFmtId="0" fontId="0" fillId="0" borderId="41" xfId="0" applyBorder="1" applyAlignment="1">
      <alignment horizontal="center"/>
    </xf>
    <xf numFmtId="0" fontId="0" fillId="0" borderId="42" xfId="0" applyBorder="1" applyAlignment="1">
      <alignment horizontal="center"/>
    </xf>
    <xf numFmtId="0" fontId="0" fillId="0" borderId="7" xfId="0"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7" xfId="0" applyBorder="1" applyAlignment="1">
      <alignment horizontal="center"/>
    </xf>
    <xf numFmtId="0" fontId="0" fillId="0" borderId="44" xfId="0" applyBorder="1" applyAlignment="1">
      <alignment horizontal="center"/>
    </xf>
    <xf numFmtId="0" fontId="0" fillId="0" borderId="35" xfId="0" applyBorder="1" applyAlignment="1">
      <alignment horizontal="center"/>
    </xf>
    <xf numFmtId="0" fontId="0" fillId="0" borderId="39" xfId="0" applyBorder="1" applyAlignment="1">
      <alignment horizontal="center"/>
    </xf>
    <xf numFmtId="0" fontId="0" fillId="0" borderId="1" xfId="0" applyBorder="1" applyAlignment="1">
      <alignment horizontal="center"/>
    </xf>
    <xf numFmtId="0" fontId="0" fillId="0" borderId="40" xfId="0"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0" fillId="0" borderId="9" xfId="0" applyNumberFormat="1" applyBorder="1" applyAlignment="1" applyProtection="1">
      <alignment horizontal="center"/>
      <protection locked="0"/>
    </xf>
    <xf numFmtId="0" fontId="0" fillId="0" borderId="2" xfId="0" applyBorder="1" applyAlignment="1">
      <alignment horizontal="center"/>
    </xf>
    <xf numFmtId="0" fontId="0" fillId="0" borderId="14" xfId="0" applyBorder="1" applyAlignment="1">
      <alignment horizontal="center"/>
    </xf>
    <xf numFmtId="0" fontId="8" fillId="0" borderId="45" xfId="0" applyFont="1" applyBorder="1" applyAlignment="1" applyProtection="1">
      <alignment horizontal="center"/>
      <protection locked="0"/>
    </xf>
    <xf numFmtId="0" fontId="0" fillId="0" borderId="46" xfId="0" applyBorder="1" applyAlignment="1" applyProtection="1">
      <alignment horizontal="center"/>
      <protection locked="0"/>
    </xf>
    <xf numFmtId="0" fontId="8" fillId="0" borderId="9" xfId="0" applyFont="1" applyBorder="1" applyAlignment="1" applyProtection="1">
      <alignment horizontal="center"/>
      <protection locked="0"/>
    </xf>
    <xf numFmtId="0" fontId="0" fillId="0" borderId="9" xfId="0" applyBorder="1" applyAlignment="1" applyProtection="1">
      <alignment horizontal="center"/>
      <protection locked="0"/>
    </xf>
    <xf numFmtId="0" fontId="20" fillId="0" borderId="0" xfId="0" applyFont="1" applyBorder="1" applyAlignment="1">
      <alignment horizontal="right"/>
    </xf>
    <xf numFmtId="0" fontId="0" fillId="0" borderId="43" xfId="0" applyBorder="1" applyAlignment="1">
      <alignment horizontal="center"/>
    </xf>
    <xf numFmtId="0" fontId="0" fillId="0" borderId="21" xfId="0" applyBorder="1" applyAlignment="1">
      <alignment horizontal="center"/>
    </xf>
    <xf numFmtId="0" fontId="8" fillId="0" borderId="25" xfId="0" applyFont="1" applyBorder="1" applyAlignment="1" applyProtection="1">
      <alignment horizontal="center"/>
      <protection locked="0"/>
    </xf>
    <xf numFmtId="0" fontId="0" fillId="0" borderId="18" xfId="0" applyBorder="1" applyAlignment="1">
      <alignment horizontal="center"/>
    </xf>
    <xf numFmtId="0" fontId="0" fillId="0" borderId="48"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1" fillId="0" borderId="0" xfId="0" applyFont="1" applyBorder="1" applyAlignment="1" applyProtection="1">
      <alignment horizontal="center"/>
      <protection locked="0"/>
    </xf>
    <xf numFmtId="0" fontId="0" fillId="0" borderId="4" xfId="0" applyBorder="1" applyAlignment="1">
      <alignment horizontal="center"/>
    </xf>
    <xf numFmtId="0" fontId="0" fillId="0" borderId="3" xfId="0" applyBorder="1" applyAlignment="1">
      <alignment horizontal="center"/>
    </xf>
    <xf numFmtId="0" fontId="0" fillId="0" borderId="23" xfId="0" applyBorder="1" applyAlignment="1">
      <alignment horizontal="center"/>
    </xf>
    <xf numFmtId="164" fontId="0" fillId="0" borderId="1" xfId="0" applyNumberFormat="1" applyBorder="1" applyAlignment="1">
      <alignment horizontal="center"/>
    </xf>
    <xf numFmtId="164" fontId="0" fillId="0" borderId="1" xfId="0" applyNumberFormat="1" applyBorder="1" applyAlignment="1" applyProtection="1">
      <alignment horizontal="center"/>
    </xf>
    <xf numFmtId="0" fontId="4" fillId="0" borderId="2" xfId="0" applyFont="1" applyBorder="1" applyAlignment="1">
      <alignment horizontal="center"/>
    </xf>
    <xf numFmtId="0" fontId="0" fillId="0" borderId="3" xfId="0" quotePrefix="1" applyBorder="1" applyAlignment="1">
      <alignment horizontal="center" vertical="center"/>
    </xf>
    <xf numFmtId="0" fontId="0" fillId="0" borderId="4" xfId="0" quotePrefix="1" applyBorder="1" applyAlignment="1">
      <alignment horizontal="center" vertical="center"/>
    </xf>
    <xf numFmtId="165" fontId="0" fillId="0" borderId="3" xfId="0" applyNumberFormat="1" applyBorder="1" applyAlignment="1">
      <alignment horizontal="center"/>
    </xf>
    <xf numFmtId="165" fontId="0" fillId="0" borderId="4" xfId="0" applyNumberFormat="1" applyBorder="1" applyAlignment="1">
      <alignment horizont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165" fontId="0" fillId="0" borderId="3" xfId="0" quotePrefix="1" applyNumberFormat="1" applyBorder="1" applyAlignment="1">
      <alignment horizontal="center"/>
    </xf>
    <xf numFmtId="165" fontId="0" fillId="0" borderId="4" xfId="0" quotePrefix="1" applyNumberFormat="1" applyBorder="1" applyAlignment="1">
      <alignment horizontal="center"/>
    </xf>
    <xf numFmtId="0" fontId="0" fillId="0" borderId="0" xfId="0" applyBorder="1" applyAlignment="1">
      <alignment horizontal="center" vertical="center"/>
    </xf>
    <xf numFmtId="1" fontId="0" fillId="0" borderId="1" xfId="0" applyNumberFormat="1" applyBorder="1" applyAlignment="1">
      <alignment horizontal="center"/>
    </xf>
    <xf numFmtId="0" fontId="3" fillId="0" borderId="29" xfId="0" applyFont="1" applyBorder="1" applyAlignment="1">
      <alignment horizontal="right"/>
    </xf>
    <xf numFmtId="0" fontId="3" fillId="0" borderId="30" xfId="0" applyFont="1" applyBorder="1" applyAlignment="1">
      <alignment horizontal="right"/>
    </xf>
    <xf numFmtId="0" fontId="3" fillId="0" borderId="21" xfId="0" applyFont="1" applyBorder="1" applyAlignment="1">
      <alignment horizontal="right"/>
    </xf>
    <xf numFmtId="0" fontId="12" fillId="0" borderId="3" xfId="0" applyFont="1" applyBorder="1" applyAlignment="1">
      <alignment horizontal="right"/>
    </xf>
    <xf numFmtId="0" fontId="12" fillId="0" borderId="1" xfId="0" applyFont="1" applyBorder="1" applyAlignment="1">
      <alignment horizontal="right"/>
    </xf>
    <xf numFmtId="0" fontId="7" fillId="0" borderId="29" xfId="0" applyFont="1" applyBorder="1" applyAlignment="1">
      <alignment horizontal="center" vertical="center" wrapText="1"/>
    </xf>
    <xf numFmtId="0" fontId="7" fillId="0" borderId="21" xfId="0" applyFont="1" applyBorder="1" applyAlignment="1">
      <alignment horizontal="center" vertical="center" wrapText="1"/>
    </xf>
    <xf numFmtId="0" fontId="1" fillId="0" borderId="0" xfId="0" applyFont="1" applyBorder="1" applyAlignment="1" applyProtection="1">
      <alignment horizontal="center"/>
    </xf>
    <xf numFmtId="0" fontId="0" fillId="0" borderId="29" xfId="0" applyBorder="1" applyAlignment="1">
      <alignment horizontal="center" vertical="center"/>
    </xf>
    <xf numFmtId="0" fontId="0" fillId="0" borderId="21" xfId="0" applyBorder="1" applyAlignment="1">
      <alignment horizontal="center" vertical="center"/>
    </xf>
    <xf numFmtId="0" fontId="2" fillId="0" borderId="29" xfId="0" applyFont="1" applyBorder="1" applyAlignment="1">
      <alignment horizontal="left" vertical="center"/>
    </xf>
    <xf numFmtId="0" fontId="2" fillId="0" borderId="21" xfId="0" applyFont="1" applyBorder="1" applyAlignment="1">
      <alignment horizontal="left" vertical="center"/>
    </xf>
    <xf numFmtId="0" fontId="0" fillId="0" borderId="30" xfId="0" applyBorder="1" applyAlignment="1">
      <alignment horizontal="center"/>
    </xf>
    <xf numFmtId="0" fontId="10" fillId="0" borderId="3" xfId="0" applyFont="1" applyBorder="1" applyAlignment="1">
      <alignment horizontal="center"/>
    </xf>
    <xf numFmtId="0" fontId="10" fillId="0" borderId="1" xfId="0" applyFont="1" applyBorder="1" applyAlignment="1">
      <alignment horizontal="center"/>
    </xf>
    <xf numFmtId="0" fontId="10" fillId="0" borderId="4" xfId="0" applyFont="1" applyBorder="1" applyAlignment="1">
      <alignment horizontal="center"/>
    </xf>
    <xf numFmtId="0" fontId="7" fillId="0" borderId="28" xfId="0" applyFont="1" applyBorder="1" applyAlignment="1">
      <alignment horizontal="center"/>
    </xf>
    <xf numFmtId="0" fontId="7" fillId="0" borderId="27" xfId="0" applyFont="1" applyBorder="1" applyAlignment="1">
      <alignment horizontal="center"/>
    </xf>
    <xf numFmtId="9" fontId="7" fillId="0" borderId="3" xfId="0" applyNumberFormat="1" applyFont="1" applyBorder="1" applyAlignment="1">
      <alignment horizontal="center"/>
    </xf>
    <xf numFmtId="0" fontId="7" fillId="0" borderId="4" xfId="0" applyFont="1" applyBorder="1" applyAlignment="1">
      <alignment horizontal="center"/>
    </xf>
    <xf numFmtId="0" fontId="10" fillId="0" borderId="28" xfId="0" applyFont="1" applyBorder="1" applyAlignment="1">
      <alignment horizontal="center"/>
    </xf>
    <xf numFmtId="0" fontId="10" fillId="0" borderId="0" xfId="0" applyFont="1" applyBorder="1" applyAlignment="1">
      <alignment horizontal="center"/>
    </xf>
    <xf numFmtId="0" fontId="10" fillId="0" borderId="27" xfId="0" applyFont="1" applyBorder="1" applyAlignment="1">
      <alignment horizont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9" xfId="0" applyFont="1" applyBorder="1" applyAlignment="1">
      <alignment horizontal="left"/>
    </xf>
    <xf numFmtId="0" fontId="7" fillId="0" borderId="21" xfId="0" applyFont="1" applyBorder="1" applyAlignment="1">
      <alignment horizontal="left"/>
    </xf>
    <xf numFmtId="0" fontId="7" fillId="0" borderId="29" xfId="0" applyFont="1" applyBorder="1" applyAlignment="1">
      <alignment horizontal="center"/>
    </xf>
    <xf numFmtId="0" fontId="7" fillId="0" borderId="21" xfId="0" applyFont="1" applyBorder="1" applyAlignment="1">
      <alignment horizontal="center"/>
    </xf>
    <xf numFmtId="0" fontId="7" fillId="0" borderId="30" xfId="0" applyFont="1" applyBorder="1" applyAlignment="1">
      <alignment horizontal="center"/>
    </xf>
    <xf numFmtId="0" fontId="12" fillId="0" borderId="1" xfId="0" applyFont="1" applyBorder="1" applyAlignment="1" applyProtection="1">
      <alignment horizontal="center"/>
      <protection locked="0"/>
    </xf>
    <xf numFmtId="0" fontId="10" fillId="0" borderId="2"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10" fillId="0" borderId="26" xfId="0" applyFont="1" applyBorder="1" applyAlignment="1">
      <alignment horizontal="center"/>
    </xf>
    <xf numFmtId="0" fontId="5" fillId="0" borderId="22" xfId="0" applyFont="1" applyBorder="1" applyAlignment="1">
      <alignment horizontal="center"/>
    </xf>
    <xf numFmtId="0" fontId="5" fillId="0" borderId="26"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2" fillId="0" borderId="0" xfId="0" applyFont="1" applyBorder="1" applyAlignment="1">
      <alignment horizontal="center"/>
    </xf>
    <xf numFmtId="0" fontId="0" fillId="0" borderId="27" xfId="0" applyBorder="1" applyAlignment="1">
      <alignment horizontal="center"/>
    </xf>
    <xf numFmtId="166" fontId="8" fillId="0" borderId="0" xfId="0" applyNumberFormat="1" applyFont="1" applyBorder="1" applyAlignment="1">
      <alignment horizontal="right"/>
    </xf>
    <xf numFmtId="0" fontId="8" fillId="0" borderId="0" xfId="0" applyFont="1" applyBorder="1" applyAlignment="1">
      <alignment horizontal="right"/>
    </xf>
    <xf numFmtId="0" fontId="3" fillId="0" borderId="0" xfId="0" applyFont="1" applyBorder="1" applyAlignment="1">
      <alignment horizontal="center" vertical="center"/>
    </xf>
    <xf numFmtId="0" fontId="0" fillId="0" borderId="1" xfId="0" applyBorder="1" applyAlignment="1" applyProtection="1">
      <alignment horizontal="center"/>
      <protection locked="0"/>
    </xf>
    <xf numFmtId="0" fontId="2" fillId="0" borderId="0" xfId="0" applyFont="1" applyBorder="1" applyAlignment="1">
      <alignment horizontal="left" wrapText="1"/>
    </xf>
    <xf numFmtId="0" fontId="8" fillId="0" borderId="1" xfId="0" applyFont="1" applyBorder="1" applyAlignment="1" applyProtection="1">
      <alignment horizontal="center"/>
      <protection locked="0"/>
    </xf>
    <xf numFmtId="0" fontId="8" fillId="0" borderId="23" xfId="0" applyFont="1" applyBorder="1" applyAlignment="1">
      <alignment horizontal="center"/>
    </xf>
    <xf numFmtId="164" fontId="8" fillId="0" borderId="1" xfId="0" applyNumberFormat="1" applyFont="1" applyBorder="1" applyAlignment="1" applyProtection="1">
      <alignment horizontal="center"/>
      <protection locked="0"/>
    </xf>
    <xf numFmtId="164" fontId="0" fillId="0" borderId="1" xfId="0" applyNumberFormat="1" applyBorder="1" applyAlignment="1" applyProtection="1">
      <alignment horizontal="center"/>
      <protection locked="0"/>
    </xf>
    <xf numFmtId="164" fontId="8" fillId="0" borderId="0" xfId="0" applyNumberFormat="1" applyFont="1" applyBorder="1" applyAlignment="1">
      <alignment horizontal="center"/>
    </xf>
    <xf numFmtId="167" fontId="0" fillId="0" borderId="1" xfId="0" applyNumberFormat="1" applyBorder="1" applyAlignment="1" applyProtection="1">
      <alignment horizontal="center"/>
      <protection locked="0"/>
    </xf>
    <xf numFmtId="0" fontId="8" fillId="0" borderId="0" xfId="0" applyFont="1" applyBorder="1" applyAlignment="1">
      <alignment horizontal="center"/>
    </xf>
    <xf numFmtId="0" fontId="0" fillId="0" borderId="0" xfId="0" applyAlignment="1">
      <alignment horizontal="center"/>
    </xf>
    <xf numFmtId="0" fontId="16" fillId="0" borderId="54" xfId="0" applyFont="1" applyBorder="1" applyAlignment="1">
      <alignment horizontal="center"/>
    </xf>
    <xf numFmtId="0" fontId="17" fillId="2" borderId="55"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5" fillId="0" borderId="51" xfId="0" applyFont="1" applyBorder="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0" fillId="0" borderId="0" xfId="0"/>
    <xf numFmtId="0" fontId="0" fillId="0" borderId="54" xfId="0" applyBorder="1"/>
    <xf numFmtId="0" fontId="16" fillId="0" borderId="54" xfId="0" applyFont="1" applyBorder="1" applyAlignment="1">
      <alignment horizontal="center" wrapText="1"/>
    </xf>
    <xf numFmtId="0" fontId="0" fillId="0" borderId="54" xfId="0" applyBorder="1" applyAlignment="1">
      <alignment wrapText="1"/>
    </xf>
    <xf numFmtId="0" fontId="17" fillId="2" borderId="49"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5" xfId="0" applyFont="1" applyFill="1" applyBorder="1" applyAlignment="1">
      <alignment horizontal="center" wrapText="1"/>
    </xf>
    <xf numFmtId="0" fontId="17" fillId="2" borderId="53" xfId="0" applyFont="1" applyFill="1" applyBorder="1" applyAlignment="1">
      <alignment horizontal="center" wrapText="1"/>
    </xf>
    <xf numFmtId="0" fontId="8" fillId="0" borderId="5" xfId="0" applyFont="1" applyBorder="1" applyAlignment="1">
      <alignment horizontal="center"/>
    </xf>
    <xf numFmtId="0" fontId="0" fillId="0" borderId="9" xfId="0" applyBorder="1" applyAlignment="1">
      <alignment horizontal="center"/>
    </xf>
    <xf numFmtId="0" fontId="7" fillId="0" borderId="0" xfId="0" applyFont="1" applyBorder="1" applyAlignment="1">
      <alignment horizontal="center" vertical="center" wrapText="1"/>
    </xf>
    <xf numFmtId="0" fontId="0" fillId="0" borderId="0" xfId="0" applyBorder="1" applyAlignment="1">
      <alignment horizontal="right"/>
    </xf>
    <xf numFmtId="0" fontId="3" fillId="0" borderId="29" xfId="0" applyFont="1" applyBorder="1" applyAlignment="1">
      <alignment horizontal="left"/>
    </xf>
    <xf numFmtId="0" fontId="3" fillId="0" borderId="30" xfId="0" applyFont="1" applyBorder="1" applyAlignment="1">
      <alignment horizontal="left"/>
    </xf>
    <xf numFmtId="0" fontId="3" fillId="0" borderId="21" xfId="0" applyFont="1" applyBorder="1" applyAlignment="1">
      <alignment horizontal="left"/>
    </xf>
    <xf numFmtId="0" fontId="8" fillId="0" borderId="1" xfId="0" applyFont="1" applyBorder="1" applyAlignment="1">
      <alignment horizontal="center"/>
    </xf>
    <xf numFmtId="0" fontId="8" fillId="0" borderId="0" xfId="0" applyFont="1" applyAlignment="1">
      <alignment horizontal="center"/>
    </xf>
    <xf numFmtId="0" fontId="4" fillId="0" borderId="1"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21" xfId="0" applyFont="1" applyBorder="1" applyAlignment="1">
      <alignment horizontal="center"/>
    </xf>
    <xf numFmtId="0" fontId="0" fillId="0" borderId="0" xfId="0" applyAlignment="1">
      <alignment horizontal="center" wrapText="1"/>
    </xf>
  </cellXfs>
  <cellStyles count="1">
    <cellStyle name="Normal" xfId="0" builtinId="0"/>
  </cellStyles>
  <dxfs count="79">
    <dxf>
      <font>
        <color rgb="FF009644"/>
      </font>
    </dxf>
    <dxf>
      <font>
        <condense val="0"/>
        <extend val="0"/>
        <color indexed="48"/>
      </font>
    </dxf>
    <dxf>
      <font>
        <condense val="0"/>
        <extend val="0"/>
        <color indexed="57"/>
      </font>
    </dxf>
    <dxf>
      <font>
        <condense val="0"/>
        <extend val="0"/>
        <color indexed="10"/>
      </font>
    </dxf>
    <dxf>
      <font>
        <b/>
        <i val="0"/>
        <strike val="0"/>
        <color rgb="FFFF0000"/>
      </font>
    </dxf>
    <dxf>
      <font>
        <condense val="0"/>
        <extend val="0"/>
        <color indexed="57"/>
      </font>
    </dxf>
    <dxf>
      <font>
        <condense val="0"/>
        <extend val="0"/>
        <color indexed="10"/>
      </font>
    </dxf>
    <dxf>
      <font>
        <condense val="0"/>
        <extend val="0"/>
        <color indexed="48"/>
      </font>
    </dxf>
    <dxf>
      <font>
        <color rgb="FF009644"/>
      </font>
    </dxf>
    <dxf>
      <font>
        <condense val="0"/>
        <extend val="0"/>
        <color indexed="48"/>
      </font>
    </dxf>
    <dxf>
      <font>
        <color rgb="FF009644"/>
      </font>
    </dxf>
    <dxf>
      <font>
        <condense val="0"/>
        <extend val="0"/>
        <color indexed="10"/>
      </font>
    </dxf>
    <dxf>
      <font>
        <b/>
        <i val="0"/>
        <strike val="0"/>
        <color rgb="FFFF0000"/>
      </font>
    </dxf>
    <dxf>
      <font>
        <condense val="0"/>
        <extend val="0"/>
        <color indexed="57"/>
      </font>
    </dxf>
    <dxf>
      <font>
        <condense val="0"/>
        <extend val="0"/>
        <color indexed="10"/>
      </font>
    </dxf>
    <dxf>
      <font>
        <condense val="0"/>
        <extend val="0"/>
        <color indexed="48"/>
      </font>
    </dxf>
    <dxf>
      <font>
        <color rgb="FF009644"/>
      </font>
    </dxf>
    <dxf>
      <font>
        <condense val="0"/>
        <extend val="0"/>
        <color indexed="48"/>
      </font>
    </dxf>
    <dxf>
      <font>
        <condense val="0"/>
        <extend val="0"/>
        <color indexed="57"/>
      </font>
    </dxf>
    <dxf>
      <font>
        <condense val="0"/>
        <extend val="0"/>
        <color indexed="10"/>
      </font>
    </dxf>
    <dxf>
      <font>
        <condense val="0"/>
        <extend val="0"/>
        <color indexed="48"/>
      </font>
    </dxf>
    <dxf>
      <font>
        <condense val="0"/>
        <extend val="0"/>
        <color indexed="57"/>
      </font>
    </dxf>
    <dxf>
      <font>
        <condense val="0"/>
        <extend val="0"/>
        <color indexed="10"/>
      </font>
    </dxf>
    <dxf>
      <font>
        <condense val="0"/>
        <extend val="0"/>
        <color indexed="48"/>
      </font>
    </dxf>
    <dxf>
      <font>
        <condense val="0"/>
        <extend val="0"/>
        <color indexed="57"/>
      </font>
    </dxf>
    <dxf>
      <font>
        <condense val="0"/>
        <extend val="0"/>
        <color indexed="10"/>
      </font>
    </dxf>
    <dxf>
      <font>
        <color rgb="FF009644"/>
      </font>
    </dxf>
    <dxf>
      <font>
        <condense val="0"/>
        <extend val="0"/>
        <color indexed="48"/>
      </font>
    </dxf>
    <dxf>
      <font>
        <condense val="0"/>
        <extend val="0"/>
        <color indexed="57"/>
      </font>
    </dxf>
    <dxf>
      <font>
        <condense val="0"/>
        <extend val="0"/>
        <color indexed="10"/>
      </font>
    </dxf>
    <dxf>
      <font>
        <condense val="0"/>
        <extend val="0"/>
        <color indexed="48"/>
      </font>
    </dxf>
    <dxf>
      <font>
        <condense val="0"/>
        <extend val="0"/>
        <color indexed="57"/>
      </font>
    </dxf>
    <dxf>
      <font>
        <condense val="0"/>
        <extend val="0"/>
        <color indexed="10"/>
      </font>
    </dxf>
    <dxf>
      <font>
        <condense val="0"/>
        <extend val="0"/>
        <color indexed="48"/>
      </font>
    </dxf>
    <dxf>
      <font>
        <condense val="0"/>
        <extend val="0"/>
        <color indexed="57"/>
      </font>
    </dxf>
    <dxf>
      <font>
        <condense val="0"/>
        <extend val="0"/>
        <color indexed="10"/>
      </font>
    </dxf>
    <dxf>
      <font>
        <color rgb="FF009644"/>
      </font>
    </dxf>
    <dxf>
      <font>
        <condense val="0"/>
        <extend val="0"/>
        <color indexed="48"/>
      </font>
    </dxf>
    <dxf>
      <font>
        <condense val="0"/>
        <extend val="0"/>
        <color indexed="57"/>
      </font>
    </dxf>
    <dxf>
      <font>
        <condense val="0"/>
        <extend val="0"/>
        <color indexed="10"/>
      </font>
    </dxf>
    <dxf>
      <font>
        <condense val="0"/>
        <extend val="0"/>
        <color indexed="48"/>
      </font>
    </dxf>
    <dxf>
      <font>
        <condense val="0"/>
        <extend val="0"/>
        <color indexed="57"/>
      </font>
    </dxf>
    <dxf>
      <font>
        <condense val="0"/>
        <extend val="0"/>
        <color indexed="10"/>
      </font>
    </dxf>
    <dxf>
      <font>
        <color rgb="FF009644"/>
      </font>
    </dxf>
    <dxf>
      <font>
        <condense val="0"/>
        <extend val="0"/>
        <color indexed="48"/>
      </font>
    </dxf>
    <dxf>
      <font>
        <condense val="0"/>
        <extend val="0"/>
        <color indexed="57"/>
      </font>
    </dxf>
    <dxf>
      <font>
        <condense val="0"/>
        <extend val="0"/>
        <color indexed="10"/>
      </font>
    </dxf>
    <dxf>
      <font>
        <condense val="0"/>
        <extend val="0"/>
        <color indexed="57"/>
      </font>
    </dxf>
    <dxf>
      <font>
        <condense val="0"/>
        <extend val="0"/>
        <color indexed="10"/>
      </font>
    </dxf>
    <dxf>
      <font>
        <condense val="0"/>
        <extend val="0"/>
        <color indexed="48"/>
      </font>
    </dxf>
    <dxf>
      <font>
        <condense val="0"/>
        <extend val="0"/>
        <color indexed="57"/>
      </font>
    </dxf>
    <dxf>
      <font>
        <condense val="0"/>
        <extend val="0"/>
        <color indexed="10"/>
      </font>
    </dxf>
    <dxf>
      <font>
        <condense val="0"/>
        <extend val="0"/>
        <color indexed="48"/>
      </font>
    </dxf>
    <dxf>
      <font>
        <condense val="0"/>
        <extend val="0"/>
        <color indexed="57"/>
      </font>
    </dxf>
    <dxf>
      <font>
        <condense val="0"/>
        <extend val="0"/>
        <color indexed="10"/>
      </font>
    </dxf>
    <dxf>
      <font>
        <condense val="0"/>
        <extend val="0"/>
        <color indexed="8"/>
      </font>
    </dxf>
    <dxf>
      <font>
        <condense val="0"/>
        <extend val="0"/>
        <color indexed="57"/>
      </font>
    </dxf>
    <dxf>
      <font>
        <condense val="0"/>
        <extend val="0"/>
        <color indexed="10"/>
      </font>
    </dxf>
    <dxf>
      <font>
        <condense val="0"/>
        <extend val="0"/>
        <color indexed="8"/>
      </font>
    </dxf>
    <dxf>
      <font>
        <condense val="0"/>
        <extend val="0"/>
        <color indexed="57"/>
      </font>
    </dxf>
    <dxf>
      <font>
        <condense val="0"/>
        <extend val="0"/>
        <color indexed="10"/>
      </font>
    </dxf>
    <dxf>
      <font>
        <condense val="0"/>
        <extend val="0"/>
        <color indexed="8"/>
      </font>
    </dxf>
    <dxf>
      <font>
        <condense val="0"/>
        <extend val="0"/>
        <color indexed="57"/>
      </font>
    </dxf>
    <dxf>
      <font>
        <condense val="0"/>
        <extend val="0"/>
        <color indexed="10"/>
      </font>
    </dxf>
    <dxf>
      <font>
        <condense val="0"/>
        <extend val="0"/>
        <color indexed="8"/>
      </font>
    </dxf>
    <dxf>
      <font>
        <condense val="0"/>
        <extend val="0"/>
        <color indexed="57"/>
      </font>
    </dxf>
    <dxf>
      <font>
        <condense val="0"/>
        <extend val="0"/>
        <color indexed="10"/>
      </font>
    </dxf>
    <dxf>
      <font>
        <condense val="0"/>
        <extend val="0"/>
        <color indexed="8"/>
      </font>
    </dxf>
    <dxf>
      <font>
        <condense val="0"/>
        <extend val="0"/>
        <color indexed="57"/>
      </font>
    </dxf>
    <dxf>
      <font>
        <condense val="0"/>
        <extend val="0"/>
        <color indexed="10"/>
      </font>
    </dxf>
    <dxf>
      <font>
        <condense val="0"/>
        <extend val="0"/>
        <color indexed="8"/>
      </font>
    </dxf>
    <dxf>
      <font>
        <condense val="0"/>
        <extend val="0"/>
        <color indexed="57"/>
      </font>
    </dxf>
    <dxf>
      <font>
        <condense val="0"/>
        <extend val="0"/>
        <color indexed="10"/>
      </font>
    </dxf>
    <dxf>
      <font>
        <condense val="0"/>
        <extend val="0"/>
        <color indexed="8"/>
      </font>
    </dxf>
    <dxf>
      <font>
        <condense val="0"/>
        <extend val="0"/>
        <color indexed="57"/>
      </font>
    </dxf>
    <dxf>
      <font>
        <condense val="0"/>
        <extend val="0"/>
        <color indexed="10"/>
      </font>
    </dxf>
    <dxf>
      <font>
        <condense val="0"/>
        <extend val="0"/>
        <color indexed="8"/>
      </font>
    </dxf>
    <dxf>
      <font>
        <condense val="0"/>
        <extend val="0"/>
        <color indexed="57"/>
      </font>
    </dxf>
    <dxf>
      <font>
        <condense val="0"/>
        <extend val="0"/>
        <color indexed="10"/>
      </font>
    </dxf>
  </dxfs>
  <tableStyles count="0" defaultTableStyle="TableStyleMedium9" defaultPivotStyle="PivotStyleLight16"/>
  <colors>
    <mruColors>
      <color rgb="FF009644"/>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marker>
            <c:symbol val="none"/>
          </c:marker>
          <c:val>
            <c:numRef>
              <c:f>'Wrnt 9 Input'!$K$64:$K$80</c:f>
            </c:numRef>
          </c:val>
          <c:extLst>
            <c:ext xmlns:c15="http://schemas.microsoft.com/office/drawing/2012/chart" uri="{02D57815-91ED-43cb-92C2-25804820EDAC}">
              <c15:filteredCategoryTitle>
                <c15:cat>
                  <c:multiLvlStrRef>
                    <c:extLst>
                      <c:ext uri="{02D57815-91ED-43cb-92C2-25804820EDAC}">
                        <c15:formulaRef>
                          <c15:sqref>'Wrnt 9 Input'!$J$64:$J$80</c15:sqref>
                        </c15:formulaRef>
                      </c:ext>
                    </c:extLst>
                  </c:multiLvlStrRef>
                </c15:cat>
              </c15:filteredCategoryTitle>
            </c:ext>
          </c:extLst>
        </c:ser>
        <c:ser>
          <c:idx val="2"/>
          <c:order val="1"/>
          <c:marker>
            <c:symbol val="none"/>
          </c:marker>
          <c:val>
            <c:numRef>
              <c:f>'Wrnt 9 Input'!$M$64:$M$80</c:f>
            </c:numRef>
          </c:val>
          <c:extLst>
            <c:ext xmlns:c15="http://schemas.microsoft.com/office/drawing/2012/chart" uri="{02D57815-91ED-43cb-92C2-25804820EDAC}">
              <c15:filteredCategoryTitle>
                <c15:cat>
                  <c:multiLvlStrRef>
                    <c:extLst>
                      <c:ext uri="{02D57815-91ED-43cb-92C2-25804820EDAC}">
                        <c15:formulaRef>
                          <c15:sqref>'Wrnt 9 Input'!$J$64:$J$80</c15:sqref>
                        </c15:formulaRef>
                      </c:ext>
                    </c:extLst>
                  </c:multiLvlStrRef>
                </c15:cat>
              </c15:filteredCategoryTitle>
            </c:ext>
          </c:extLst>
        </c:ser>
        <c:ser>
          <c:idx val="3"/>
          <c:order val="2"/>
          <c:marker>
            <c:symbol val="none"/>
          </c:marker>
          <c:val>
            <c:numRef>
              <c:f>'Wrnt 9 Input'!$O$64:$O$80</c:f>
            </c:numRef>
          </c:val>
          <c:extLst>
            <c:ext xmlns:c15="http://schemas.microsoft.com/office/drawing/2012/chart" uri="{02D57815-91ED-43cb-92C2-25804820EDAC}">
              <c15:filteredCategoryTitle>
                <c15:cat>
                  <c:multiLvlStrRef>
                    <c:extLst>
                      <c:ext uri="{02D57815-91ED-43cb-92C2-25804820EDAC}">
                        <c15:formulaRef>
                          <c15:sqref>'Wrnt 9 Input'!$J$64:$J$80</c15:sqref>
                        </c15:formulaRef>
                      </c:ext>
                    </c:extLst>
                  </c:multiLvlStrRef>
                </c15:cat>
              </c15:filteredCategoryTitle>
            </c:ext>
          </c:extLst>
        </c:ser>
        <c:ser>
          <c:idx val="4"/>
          <c:order val="3"/>
          <c:marker>
            <c:symbol val="none"/>
          </c:marker>
          <c:val>
            <c:numRef>
              <c:f>'Wrnt 9 Input'!$Q$64:$Q$80</c:f>
            </c:numRef>
          </c:val>
          <c:extLst>
            <c:ext xmlns:c15="http://schemas.microsoft.com/office/drawing/2012/chart" uri="{02D57815-91ED-43cb-92C2-25804820EDAC}">
              <c15:filteredCategoryTitle>
                <c15:cat>
                  <c:multiLvlStrRef>
                    <c:extLst>
                      <c:ext uri="{02D57815-91ED-43cb-92C2-25804820EDAC}">
                        <c15:formulaRef>
                          <c15:sqref>'Wrnt 9 Input'!$J$64:$J$80</c15:sqref>
                        </c15:formulaRef>
                      </c:ext>
                    </c:extLst>
                  </c:multiLvlStrRef>
                </c15:cat>
              </c15:filteredCategoryTitle>
            </c:ext>
          </c:extLst>
        </c:ser>
        <c:ser>
          <c:idx val="5"/>
          <c:order val="4"/>
          <c:marker>
            <c:symbol val="none"/>
          </c:marker>
          <c:val>
            <c:numRef>
              <c:f>'Wrnt 9 Input'!$S$64:$S$80</c:f>
            </c:numRef>
          </c:val>
          <c:extLst>
            <c:ext xmlns:c15="http://schemas.microsoft.com/office/drawing/2012/chart" uri="{02D57815-91ED-43cb-92C2-25804820EDAC}">
              <c15:filteredCategoryTitle>
                <c15:cat>
                  <c:multiLvlStrRef>
                    <c:extLst>
                      <c:ext uri="{02D57815-91ED-43cb-92C2-25804820EDAC}">
                        <c15:formulaRef>
                          <c15:sqref>'Wrnt 9 Input'!$J$64:$J$80</c15:sqref>
                        </c15:formulaRef>
                      </c:ext>
                    </c:extLst>
                  </c:multiLvlStrRef>
                </c15:cat>
              </c15:filteredCategoryTitle>
            </c:ext>
          </c:extLst>
        </c:ser>
        <c:ser>
          <c:idx val="6"/>
          <c:order val="5"/>
          <c:marker>
            <c:symbol val="none"/>
          </c:marker>
          <c:val>
            <c:numRef>
              <c:f>'Wrnt 9 Input'!$U$64:$U$80</c:f>
            </c:numRef>
          </c:val>
          <c:extLst>
            <c:ext xmlns:c15="http://schemas.microsoft.com/office/drawing/2012/chart" uri="{02D57815-91ED-43cb-92C2-25804820EDAC}">
              <c15:filteredCategoryTitle>
                <c15:cat>
                  <c:multiLvlStrRef>
                    <c:extLst>
                      <c:ext uri="{02D57815-91ED-43cb-92C2-25804820EDAC}">
                        <c15:formulaRef>
                          <c15:sqref>'Wrnt 9 Input'!$J$64:$J$80</c15:sqref>
                        </c15:formulaRef>
                      </c:ext>
                    </c:extLst>
                  </c:multiLvlStrRef>
                </c15:cat>
              </c15:filteredCategoryTitle>
            </c:ext>
          </c:extLst>
        </c:ser>
        <c:dLbls/>
        <c:marker val="1"/>
        <c:axId val="80095488"/>
        <c:axId val="80101376"/>
      </c:lineChart>
      <c:catAx>
        <c:axId val="80095488"/>
        <c:scaling>
          <c:orientation val="minMax"/>
        </c:scaling>
        <c:axPos val="b"/>
        <c:majorGridlines/>
        <c:numFmt formatCode="General" sourceLinked="1"/>
        <c:tickLblPos val="nextTo"/>
        <c:txPr>
          <a:bodyPr rot="-5400000" vert="horz"/>
          <a:lstStyle/>
          <a:p>
            <a:pPr>
              <a:defRPr/>
            </a:pPr>
            <a:endParaRPr lang="en-US"/>
          </a:p>
        </c:txPr>
        <c:crossAx val="80101376"/>
        <c:crosses val="autoZero"/>
        <c:auto val="1"/>
        <c:lblAlgn val="ctr"/>
        <c:lblOffset val="100"/>
        <c:tickLblSkip val="2"/>
      </c:catAx>
      <c:valAx>
        <c:axId val="80101376"/>
        <c:scaling>
          <c:orientation val="minMax"/>
          <c:max val="350"/>
          <c:min val="0"/>
        </c:scaling>
        <c:axPos val="l"/>
        <c:majorGridlines/>
        <c:numFmt formatCode="General" sourceLinked="1"/>
        <c:tickLblPos val="nextTo"/>
        <c:crossAx val="80095488"/>
        <c:crossesAt val="1"/>
        <c:crossBetween val="midCat"/>
        <c:majorUnit val="50"/>
        <c:minorUnit val="25"/>
      </c:valAx>
    </c:plotArea>
    <c:legend>
      <c:legendPos val="r"/>
    </c:legend>
    <c:plotVisOnly val="1"/>
    <c:dispBlanksAs val="gap"/>
  </c:chart>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1"/>
          <c:order val="0"/>
          <c:marker>
            <c:symbol val="none"/>
          </c:marker>
          <c:trendline>
            <c:trendlineType val="poly"/>
            <c:order val="2"/>
            <c:dispRSqr val="1"/>
            <c:dispEq val="1"/>
            <c:trendlineLbl>
              <c:layout>
                <c:manualLayout>
                  <c:x val="1.2086176727909011E-2"/>
                  <c:y val="-0.32062372411782103"/>
                </c:manualLayout>
              </c:layout>
              <c:numFmt formatCode="General" sourceLinked="0"/>
            </c:trendlineLbl>
          </c:trendline>
          <c:val>
            <c:numRef>
              <c:f>Worksheet!$EJ$42:$EJ$53</c:f>
              <c:numCache>
                <c:formatCode>General</c:formatCode>
                <c:ptCount val="12"/>
                <c:pt idx="1">
                  <c:v>412</c:v>
                </c:pt>
                <c:pt idx="2">
                  <c:v>346</c:v>
                </c:pt>
                <c:pt idx="3">
                  <c:v>290</c:v>
                </c:pt>
                <c:pt idx="4">
                  <c:v>234</c:v>
                </c:pt>
                <c:pt idx="5">
                  <c:v>193</c:v>
                </c:pt>
                <c:pt idx="6">
                  <c:v>156</c:v>
                </c:pt>
                <c:pt idx="7">
                  <c:v>123</c:v>
                </c:pt>
                <c:pt idx="8">
                  <c:v>107</c:v>
                </c:pt>
                <c:pt idx="9">
                  <c:v>107</c:v>
                </c:pt>
                <c:pt idx="10">
                  <c:v>107</c:v>
                </c:pt>
                <c:pt idx="11">
                  <c:v>107</c:v>
                </c:pt>
              </c:numCache>
            </c:numRef>
          </c:val>
        </c:ser>
        <c:dLbls/>
        <c:marker val="1"/>
        <c:axId val="81893632"/>
        <c:axId val="81915904"/>
      </c:lineChart>
      <c:catAx>
        <c:axId val="81893632"/>
        <c:scaling>
          <c:orientation val="minMax"/>
        </c:scaling>
        <c:axPos val="b"/>
        <c:numFmt formatCode="General" sourceLinked="1"/>
        <c:tickLblPos val="nextTo"/>
        <c:crossAx val="81915904"/>
        <c:crosses val="autoZero"/>
        <c:auto val="1"/>
        <c:lblAlgn val="ctr"/>
        <c:lblOffset val="100"/>
      </c:catAx>
      <c:valAx>
        <c:axId val="81915904"/>
        <c:scaling>
          <c:orientation val="minMax"/>
        </c:scaling>
        <c:axPos val="l"/>
        <c:majorGridlines/>
        <c:numFmt formatCode="General" sourceLinked="1"/>
        <c:tickLblPos val="nextTo"/>
        <c:crossAx val="81893632"/>
        <c:crossesAt val="1"/>
        <c:crossBetween val="midCat"/>
      </c:valAx>
    </c:plotArea>
    <c:legend>
      <c:legendPos val="r"/>
    </c:legend>
    <c:plotVisOnly val="1"/>
    <c:dispBlanksAs val="gap"/>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none"/>
          </c:marker>
          <c:trendline>
            <c:trendlineType val="poly"/>
            <c:order val="2"/>
            <c:dispRSqr val="1"/>
            <c:dispEq val="1"/>
            <c:trendlineLbl>
              <c:layout>
                <c:manualLayout>
                  <c:x val="6.0555555555555545E-3"/>
                  <c:y val="-0.41037620297463195"/>
                </c:manualLayout>
              </c:layout>
              <c:numFmt formatCode="General" sourceLinked="0"/>
            </c:trendlineLbl>
          </c:trendline>
          <c:val>
            <c:numRef>
              <c:f>Worksheet!$ES$44:$ES$53</c:f>
              <c:numCache>
                <c:formatCode>General</c:formatCode>
                <c:ptCount val="10"/>
                <c:pt idx="0">
                  <c:v>413</c:v>
                </c:pt>
                <c:pt idx="1">
                  <c:v>349</c:v>
                </c:pt>
                <c:pt idx="2">
                  <c:v>288</c:v>
                </c:pt>
                <c:pt idx="3">
                  <c:v>231</c:v>
                </c:pt>
                <c:pt idx="4">
                  <c:v>187</c:v>
                </c:pt>
                <c:pt idx="5">
                  <c:v>154</c:v>
                </c:pt>
                <c:pt idx="6">
                  <c:v>119</c:v>
                </c:pt>
                <c:pt idx="7">
                  <c:v>100</c:v>
                </c:pt>
                <c:pt idx="8">
                  <c:v>93</c:v>
                </c:pt>
                <c:pt idx="9">
                  <c:v>93</c:v>
                </c:pt>
              </c:numCache>
            </c:numRef>
          </c:val>
        </c:ser>
        <c:dLbls/>
        <c:marker val="1"/>
        <c:axId val="81609088"/>
        <c:axId val="81610624"/>
      </c:lineChart>
      <c:catAx>
        <c:axId val="81609088"/>
        <c:scaling>
          <c:orientation val="minMax"/>
        </c:scaling>
        <c:axPos val="b"/>
        <c:tickLblPos val="nextTo"/>
        <c:crossAx val="81610624"/>
        <c:crossesAt val="0"/>
        <c:auto val="1"/>
        <c:lblAlgn val="ctr"/>
        <c:lblOffset val="100"/>
      </c:catAx>
      <c:valAx>
        <c:axId val="81610624"/>
        <c:scaling>
          <c:orientation val="minMax"/>
          <c:max val="500"/>
          <c:min val="0"/>
        </c:scaling>
        <c:axPos val="l"/>
        <c:majorGridlines/>
        <c:numFmt formatCode="General" sourceLinked="1"/>
        <c:tickLblPos val="nextTo"/>
        <c:crossAx val="81609088"/>
        <c:crossesAt val="1"/>
        <c:crossBetween val="midCat"/>
        <c:majorUnit val="100"/>
      </c:valAx>
    </c:plotArea>
    <c:legend>
      <c:legendPos val="r"/>
    </c:legend>
    <c:plotVisOnly val="1"/>
    <c:dispBlanksAs val="gap"/>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none"/>
          </c:marker>
          <c:trendline>
            <c:trendlineType val="poly"/>
            <c:order val="2"/>
            <c:dispRSqr val="1"/>
            <c:dispEq val="1"/>
            <c:trendlineLbl>
              <c:layout>
                <c:manualLayout>
                  <c:x val="-9.1251093613298508E-3"/>
                  <c:y val="-0.31498651210265877"/>
                </c:manualLayout>
              </c:layout>
              <c:numFmt formatCode="General" sourceLinked="0"/>
            </c:trendlineLbl>
          </c:trendline>
          <c:val>
            <c:numRef>
              <c:f>Worksheet!$EM$44:$EM$51</c:f>
              <c:numCache>
                <c:formatCode>General</c:formatCode>
                <c:ptCount val="8"/>
                <c:pt idx="0">
                  <c:v>270</c:v>
                </c:pt>
                <c:pt idx="1">
                  <c:v>214</c:v>
                </c:pt>
                <c:pt idx="2">
                  <c:v>164</c:v>
                </c:pt>
                <c:pt idx="3">
                  <c:v>122</c:v>
                </c:pt>
                <c:pt idx="4">
                  <c:v>88</c:v>
                </c:pt>
                <c:pt idx="5">
                  <c:v>75</c:v>
                </c:pt>
                <c:pt idx="6">
                  <c:v>75</c:v>
                </c:pt>
                <c:pt idx="7">
                  <c:v>75</c:v>
                </c:pt>
              </c:numCache>
            </c:numRef>
          </c:val>
        </c:ser>
        <c:dLbls/>
        <c:marker val="1"/>
        <c:axId val="81647872"/>
        <c:axId val="81920000"/>
      </c:lineChart>
      <c:catAx>
        <c:axId val="81647872"/>
        <c:scaling>
          <c:orientation val="minMax"/>
        </c:scaling>
        <c:axPos val="b"/>
        <c:tickLblPos val="nextTo"/>
        <c:crossAx val="81920000"/>
        <c:crossesAt val="0"/>
        <c:auto val="1"/>
        <c:lblAlgn val="ctr"/>
        <c:lblOffset val="100"/>
      </c:catAx>
      <c:valAx>
        <c:axId val="81920000"/>
        <c:scaling>
          <c:orientation val="minMax"/>
          <c:max val="400"/>
          <c:min val="0"/>
        </c:scaling>
        <c:axPos val="l"/>
        <c:majorGridlines/>
        <c:numFmt formatCode="General" sourceLinked="1"/>
        <c:tickLblPos val="nextTo"/>
        <c:crossAx val="81647872"/>
        <c:crossesAt val="1"/>
        <c:crossBetween val="midCat"/>
        <c:majorUnit val="100"/>
      </c:valAx>
    </c:plotArea>
    <c:legend>
      <c:legendPos val="r"/>
    </c:legend>
    <c:plotVisOnly val="1"/>
    <c:dispBlanksAs val="gap"/>
  </c:chart>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marker>
            <c:symbol val="none"/>
          </c:marker>
          <c:trendline>
            <c:trendlineType val="poly"/>
            <c:order val="2"/>
            <c:dispRSqr val="1"/>
            <c:dispEq val="1"/>
            <c:trendlineLbl>
              <c:layout>
                <c:manualLayout>
                  <c:x val="-4.8611111111111112E-3"/>
                  <c:y val="-0.45878390201225011"/>
                </c:manualLayout>
              </c:layout>
              <c:numFmt formatCode="General" sourceLinked="0"/>
            </c:trendlineLbl>
          </c:trendline>
          <c:val>
            <c:numRef>
              <c:f>Worksheet!$EP$43:$EP$57</c:f>
              <c:numCache>
                <c:formatCode>General</c:formatCode>
                <c:ptCount val="15"/>
                <c:pt idx="0">
                  <c:v>647</c:v>
                </c:pt>
                <c:pt idx="1">
                  <c:v>568</c:v>
                </c:pt>
                <c:pt idx="2">
                  <c:v>494</c:v>
                </c:pt>
                <c:pt idx="3">
                  <c:v>423</c:v>
                </c:pt>
                <c:pt idx="4">
                  <c:v>375</c:v>
                </c:pt>
                <c:pt idx="5">
                  <c:v>324</c:v>
                </c:pt>
                <c:pt idx="6">
                  <c:v>277</c:v>
                </c:pt>
                <c:pt idx="7">
                  <c:v>239</c:v>
                </c:pt>
                <c:pt idx="8">
                  <c:v>200</c:v>
                </c:pt>
                <c:pt idx="9">
                  <c:v>167</c:v>
                </c:pt>
                <c:pt idx="10">
                  <c:v>144</c:v>
                </c:pt>
                <c:pt idx="11">
                  <c:v>133</c:v>
                </c:pt>
                <c:pt idx="12">
                  <c:v>133</c:v>
                </c:pt>
                <c:pt idx="13">
                  <c:v>133</c:v>
                </c:pt>
                <c:pt idx="14">
                  <c:v>133</c:v>
                </c:pt>
              </c:numCache>
            </c:numRef>
          </c:val>
        </c:ser>
        <c:dLbls/>
        <c:marker val="1"/>
        <c:axId val="81940864"/>
        <c:axId val="81942400"/>
      </c:lineChart>
      <c:catAx>
        <c:axId val="81940864"/>
        <c:scaling>
          <c:orientation val="minMax"/>
        </c:scaling>
        <c:axPos val="b"/>
        <c:tickLblPos val="nextTo"/>
        <c:crossAx val="81942400"/>
        <c:crossesAt val="0"/>
        <c:auto val="1"/>
        <c:lblAlgn val="ctr"/>
        <c:lblOffset val="100"/>
      </c:catAx>
      <c:valAx>
        <c:axId val="81942400"/>
        <c:scaling>
          <c:orientation val="minMax"/>
          <c:max val="700"/>
          <c:min val="0"/>
        </c:scaling>
        <c:axPos val="l"/>
        <c:majorGridlines/>
        <c:numFmt formatCode="General" sourceLinked="1"/>
        <c:tickLblPos val="nextTo"/>
        <c:crossAx val="81940864"/>
        <c:crosses val="autoZero"/>
        <c:crossBetween val="midCat"/>
        <c:majorUnit val="100"/>
      </c:valAx>
    </c:plotArea>
    <c:legend>
      <c:legendPos val="r"/>
    </c:legend>
    <c:plotVisOnly val="1"/>
    <c:dispBlanksAs val="gap"/>
  </c:chart>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0.emf"/></Relationships>
</file>

<file path=xl/drawings/_rels/drawing7.xml.rels><?xml version="1.0" encoding="UTF-8" standalone="yes"?>
<Relationships xmlns="http://schemas.openxmlformats.org/package/2006/relationships"><Relationship Id="rId1" Type="http://schemas.openxmlformats.org/officeDocument/2006/relationships/image" Target="../media/image11.emf"/></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30</xdr:row>
      <xdr:rowOff>85725</xdr:rowOff>
    </xdr:from>
    <xdr:to>
      <xdr:col>10</xdr:col>
      <xdr:colOff>476250</xdr:colOff>
      <xdr:row>58</xdr:row>
      <xdr:rowOff>0</xdr:rowOff>
    </xdr:to>
    <xdr:pic>
      <xdr:nvPicPr>
        <xdr:cNvPr id="2050" name="Picture 2"/>
        <xdr:cNvPicPr>
          <a:picLocks noChangeAspect="1" noChangeArrowheads="1"/>
        </xdr:cNvPicPr>
      </xdr:nvPicPr>
      <xdr:blipFill>
        <a:blip xmlns:r="http://schemas.openxmlformats.org/officeDocument/2006/relationships" r:embed="rId1" cstate="print"/>
        <a:srcRect l="2143"/>
        <a:stretch>
          <a:fillRect/>
        </a:stretch>
      </xdr:blipFill>
      <xdr:spPr bwMode="auto">
        <a:xfrm>
          <a:off x="47625" y="4943475"/>
          <a:ext cx="6524625" cy="4448175"/>
        </a:xfrm>
        <a:prstGeom prst="rect">
          <a:avLst/>
        </a:prstGeom>
        <a:noFill/>
        <a:ln w="1">
          <a:noFill/>
          <a:miter lim="800000"/>
          <a:headEnd/>
          <a:tailEnd/>
        </a:ln>
        <a:effectLst/>
      </xdr:spPr>
    </xdr:pic>
    <xdr:clientData/>
  </xdr:twoCellAnchor>
  <xdr:twoCellAnchor editAs="oneCell">
    <xdr:from>
      <xdr:col>0</xdr:col>
      <xdr:colOff>38100</xdr:colOff>
      <xdr:row>1</xdr:row>
      <xdr:rowOff>9525</xdr:rowOff>
    </xdr:from>
    <xdr:to>
      <xdr:col>10</xdr:col>
      <xdr:colOff>333375</xdr:colOff>
      <xdr:row>28</xdr:row>
      <xdr:rowOff>38100</xdr:rowOff>
    </xdr:to>
    <xdr:pic>
      <xdr:nvPicPr>
        <xdr:cNvPr id="2049" name="Picture 1"/>
        <xdr:cNvPicPr>
          <a:picLocks noChangeAspect="1" noChangeArrowheads="1"/>
        </xdr:cNvPicPr>
      </xdr:nvPicPr>
      <xdr:blipFill>
        <a:blip xmlns:r="http://schemas.openxmlformats.org/officeDocument/2006/relationships" r:embed="rId2" cstate="print"/>
        <a:srcRect l="1901"/>
        <a:stretch>
          <a:fillRect/>
        </a:stretch>
      </xdr:blipFill>
      <xdr:spPr bwMode="auto">
        <a:xfrm>
          <a:off x="38100" y="171450"/>
          <a:ext cx="6391275" cy="4400550"/>
        </a:xfrm>
        <a:prstGeom prst="rect">
          <a:avLst/>
        </a:prstGeom>
        <a:noFill/>
        <a:ln w="1">
          <a:noFill/>
          <a:miter lim="800000"/>
          <a:headEnd/>
          <a:tailEnd/>
        </a:ln>
        <a:effectLst/>
      </xdr:spPr>
    </xdr:pic>
    <xdr:clientData/>
  </xdr:twoCellAnchor>
  <xdr:twoCellAnchor>
    <xdr:from>
      <xdr:col>5</xdr:col>
      <xdr:colOff>376240</xdr:colOff>
      <xdr:row>16</xdr:row>
      <xdr:rowOff>89531</xdr:rowOff>
    </xdr:from>
    <xdr:to>
      <xdr:col>5</xdr:col>
      <xdr:colOff>376240</xdr:colOff>
      <xdr:row>19</xdr:row>
      <xdr:rowOff>152396</xdr:rowOff>
    </xdr:to>
    <xdr:sp macro="" textlink="">
      <xdr:nvSpPr>
        <xdr:cNvPr id="64" name="Line 4"/>
        <xdr:cNvSpPr>
          <a:spLocks noChangeShapeType="1"/>
        </xdr:cNvSpPr>
      </xdr:nvSpPr>
      <xdr:spPr bwMode="auto">
        <a:xfrm rot="10800000" flipV="1">
          <a:off x="3424240" y="2680331"/>
          <a:ext cx="0" cy="548640"/>
        </a:xfrm>
        <a:prstGeom prst="line">
          <a:avLst/>
        </a:prstGeom>
        <a:noFill/>
        <a:ln w="28575">
          <a:solidFill>
            <a:srgbClr val="339966"/>
          </a:solidFill>
          <a:round/>
          <a:headEnd/>
          <a:tailEnd/>
        </a:ln>
      </xdr:spPr>
    </xdr:sp>
    <xdr:clientData fLocksWithSheet="0"/>
  </xdr:twoCellAnchor>
  <xdr:twoCellAnchor>
    <xdr:from>
      <xdr:col>1</xdr:col>
      <xdr:colOff>185740</xdr:colOff>
      <xdr:row>44</xdr:row>
      <xdr:rowOff>114281</xdr:rowOff>
    </xdr:from>
    <xdr:to>
      <xdr:col>8</xdr:col>
      <xdr:colOff>207076</xdr:colOff>
      <xdr:row>44</xdr:row>
      <xdr:rowOff>114281</xdr:rowOff>
    </xdr:to>
    <xdr:sp macro="" textlink="">
      <xdr:nvSpPr>
        <xdr:cNvPr id="68" name="Line 10"/>
        <xdr:cNvSpPr>
          <a:spLocks noChangeShapeType="1"/>
        </xdr:cNvSpPr>
      </xdr:nvSpPr>
      <xdr:spPr bwMode="auto">
        <a:xfrm flipV="1">
          <a:off x="795340" y="7238981"/>
          <a:ext cx="4288536" cy="0"/>
        </a:xfrm>
        <a:prstGeom prst="line">
          <a:avLst/>
        </a:prstGeom>
        <a:noFill/>
        <a:ln w="28575">
          <a:solidFill>
            <a:srgbClr val="FF0000"/>
          </a:solidFill>
          <a:round/>
          <a:headEnd/>
          <a:tailEnd/>
        </a:ln>
      </xdr:spPr>
    </xdr:sp>
    <xdr:clientData fLocksWithSheet="0"/>
  </xdr:twoCellAnchor>
  <xdr:twoCellAnchor>
    <xdr:from>
      <xdr:col>1</xdr:col>
      <xdr:colOff>285754</xdr:colOff>
      <xdr:row>14</xdr:row>
      <xdr:rowOff>123825</xdr:rowOff>
    </xdr:from>
    <xdr:to>
      <xdr:col>8</xdr:col>
      <xdr:colOff>499114</xdr:colOff>
      <xdr:row>14</xdr:row>
      <xdr:rowOff>123825</xdr:rowOff>
    </xdr:to>
    <xdr:sp macro="" textlink="">
      <xdr:nvSpPr>
        <xdr:cNvPr id="70" name="Line 10"/>
        <xdr:cNvSpPr>
          <a:spLocks noChangeShapeType="1"/>
        </xdr:cNvSpPr>
      </xdr:nvSpPr>
      <xdr:spPr bwMode="auto">
        <a:xfrm flipV="1">
          <a:off x="895354" y="2390775"/>
          <a:ext cx="4480560" cy="0"/>
        </a:xfrm>
        <a:prstGeom prst="line">
          <a:avLst/>
        </a:prstGeom>
        <a:noFill/>
        <a:ln w="28575">
          <a:solidFill>
            <a:srgbClr val="FF0000"/>
          </a:solidFill>
          <a:round/>
          <a:headEnd/>
          <a:tailEnd/>
        </a:ln>
      </xdr:spPr>
    </xdr:sp>
    <xdr:clientData fLocksWithSheet="0"/>
  </xdr:twoCellAnchor>
  <xdr:twoCellAnchor>
    <xdr:from>
      <xdr:col>1</xdr:col>
      <xdr:colOff>285754</xdr:colOff>
      <xdr:row>14</xdr:row>
      <xdr:rowOff>38096</xdr:rowOff>
    </xdr:from>
    <xdr:to>
      <xdr:col>8</xdr:col>
      <xdr:colOff>499114</xdr:colOff>
      <xdr:row>14</xdr:row>
      <xdr:rowOff>38096</xdr:rowOff>
    </xdr:to>
    <xdr:sp macro="" textlink="">
      <xdr:nvSpPr>
        <xdr:cNvPr id="71" name="Line 10"/>
        <xdr:cNvSpPr>
          <a:spLocks noChangeShapeType="1"/>
        </xdr:cNvSpPr>
      </xdr:nvSpPr>
      <xdr:spPr bwMode="auto">
        <a:xfrm flipV="1">
          <a:off x="895354" y="2305046"/>
          <a:ext cx="4480560" cy="0"/>
        </a:xfrm>
        <a:prstGeom prst="line">
          <a:avLst/>
        </a:prstGeom>
        <a:noFill/>
        <a:ln w="28575">
          <a:solidFill>
            <a:srgbClr val="FF0000"/>
          </a:solidFill>
          <a:round/>
          <a:headEnd/>
          <a:tailEnd/>
        </a:ln>
      </xdr:spPr>
    </xdr:sp>
    <xdr:clientData fLocksWithSheet="0"/>
  </xdr:twoCellAnchor>
  <xdr:twoCellAnchor>
    <xdr:from>
      <xdr:col>1</xdr:col>
      <xdr:colOff>285751</xdr:colOff>
      <xdr:row>17</xdr:row>
      <xdr:rowOff>123821</xdr:rowOff>
    </xdr:from>
    <xdr:to>
      <xdr:col>6</xdr:col>
      <xdr:colOff>438151</xdr:colOff>
      <xdr:row>17</xdr:row>
      <xdr:rowOff>123821</xdr:rowOff>
    </xdr:to>
    <xdr:sp macro="" textlink="">
      <xdr:nvSpPr>
        <xdr:cNvPr id="76" name="Line 3"/>
        <xdr:cNvSpPr>
          <a:spLocks noChangeShapeType="1"/>
        </xdr:cNvSpPr>
      </xdr:nvSpPr>
      <xdr:spPr bwMode="auto">
        <a:xfrm>
          <a:off x="895351" y="2876546"/>
          <a:ext cx="3200400" cy="0"/>
        </a:xfrm>
        <a:prstGeom prst="line">
          <a:avLst/>
        </a:prstGeom>
        <a:noFill/>
        <a:ln w="28575">
          <a:solidFill>
            <a:srgbClr val="339966"/>
          </a:solidFill>
          <a:round/>
          <a:headEnd/>
          <a:tailEnd/>
        </a:ln>
      </xdr:spPr>
    </xdr:sp>
    <xdr:clientData fLocksWithSheet="0"/>
  </xdr:twoCellAnchor>
  <xdr:twoCellAnchor>
    <xdr:from>
      <xdr:col>1</xdr:col>
      <xdr:colOff>285752</xdr:colOff>
      <xdr:row>16</xdr:row>
      <xdr:rowOff>133345</xdr:rowOff>
    </xdr:from>
    <xdr:to>
      <xdr:col>7</xdr:col>
      <xdr:colOff>560072</xdr:colOff>
      <xdr:row>16</xdr:row>
      <xdr:rowOff>133345</xdr:rowOff>
    </xdr:to>
    <xdr:sp macro="" textlink="">
      <xdr:nvSpPr>
        <xdr:cNvPr id="77" name="Line 3"/>
        <xdr:cNvSpPr>
          <a:spLocks noChangeShapeType="1"/>
        </xdr:cNvSpPr>
      </xdr:nvSpPr>
      <xdr:spPr bwMode="auto">
        <a:xfrm>
          <a:off x="895352" y="2724145"/>
          <a:ext cx="3931920" cy="0"/>
        </a:xfrm>
        <a:prstGeom prst="line">
          <a:avLst/>
        </a:prstGeom>
        <a:noFill/>
        <a:ln w="28575">
          <a:solidFill>
            <a:srgbClr val="0066FF"/>
          </a:solidFill>
          <a:round/>
          <a:headEnd/>
          <a:tailEnd/>
        </a:ln>
      </xdr:spPr>
    </xdr:sp>
    <xdr:clientData fLocksWithSheet="0"/>
  </xdr:twoCellAnchor>
  <xdr:twoCellAnchor>
    <xdr:from>
      <xdr:col>8</xdr:col>
      <xdr:colOff>523877</xdr:colOff>
      <xdr:row>14</xdr:row>
      <xdr:rowOff>45716</xdr:rowOff>
    </xdr:from>
    <xdr:to>
      <xdr:col>8</xdr:col>
      <xdr:colOff>523877</xdr:colOff>
      <xdr:row>19</xdr:row>
      <xdr:rowOff>150491</xdr:rowOff>
    </xdr:to>
    <xdr:sp macro="" textlink="">
      <xdr:nvSpPr>
        <xdr:cNvPr id="82" name="Line 6"/>
        <xdr:cNvSpPr>
          <a:spLocks noChangeShapeType="1"/>
        </xdr:cNvSpPr>
      </xdr:nvSpPr>
      <xdr:spPr bwMode="auto">
        <a:xfrm rot="10800000" flipH="1">
          <a:off x="5400677" y="2312666"/>
          <a:ext cx="0" cy="914400"/>
        </a:xfrm>
        <a:prstGeom prst="line">
          <a:avLst/>
        </a:prstGeom>
        <a:noFill/>
        <a:ln w="28575">
          <a:solidFill>
            <a:srgbClr val="FF0000"/>
          </a:solidFill>
          <a:round/>
          <a:headEnd/>
          <a:tailEnd/>
        </a:ln>
      </xdr:spPr>
    </xdr:sp>
    <xdr:clientData fLocksWithSheet="0"/>
  </xdr:twoCellAnchor>
  <xdr:twoCellAnchor>
    <xdr:from>
      <xdr:col>6</xdr:col>
      <xdr:colOff>2</xdr:colOff>
      <xdr:row>41</xdr:row>
      <xdr:rowOff>133346</xdr:rowOff>
    </xdr:from>
    <xdr:to>
      <xdr:col>9</xdr:col>
      <xdr:colOff>91442</xdr:colOff>
      <xdr:row>41</xdr:row>
      <xdr:rowOff>133346</xdr:rowOff>
    </xdr:to>
    <xdr:sp macro="" textlink="">
      <xdr:nvSpPr>
        <xdr:cNvPr id="83" name="Line 16"/>
        <xdr:cNvSpPr>
          <a:spLocks noChangeShapeType="1"/>
        </xdr:cNvSpPr>
      </xdr:nvSpPr>
      <xdr:spPr bwMode="auto">
        <a:xfrm>
          <a:off x="3657602" y="6772271"/>
          <a:ext cx="1920240" cy="0"/>
        </a:xfrm>
        <a:prstGeom prst="line">
          <a:avLst/>
        </a:prstGeom>
        <a:noFill/>
        <a:ln w="28575">
          <a:solidFill>
            <a:srgbClr val="339966"/>
          </a:solidFill>
          <a:round/>
          <a:headEnd/>
          <a:tailEnd/>
        </a:ln>
      </xdr:spPr>
    </xdr:sp>
    <xdr:clientData fLocksWithSheet="0"/>
  </xdr:twoCellAnchor>
  <xdr:twoCellAnchor>
    <xdr:from>
      <xdr:col>4</xdr:col>
      <xdr:colOff>533402</xdr:colOff>
      <xdr:row>9</xdr:row>
      <xdr:rowOff>142871</xdr:rowOff>
    </xdr:from>
    <xdr:to>
      <xdr:col>7</xdr:col>
      <xdr:colOff>533402</xdr:colOff>
      <xdr:row>9</xdr:row>
      <xdr:rowOff>142871</xdr:rowOff>
    </xdr:to>
    <xdr:sp macro="" textlink="">
      <xdr:nvSpPr>
        <xdr:cNvPr id="85" name="Line 13"/>
        <xdr:cNvSpPr>
          <a:spLocks noChangeShapeType="1"/>
        </xdr:cNvSpPr>
      </xdr:nvSpPr>
      <xdr:spPr bwMode="auto">
        <a:xfrm>
          <a:off x="2971802" y="1600196"/>
          <a:ext cx="1828800" cy="0"/>
        </a:xfrm>
        <a:prstGeom prst="line">
          <a:avLst/>
        </a:prstGeom>
        <a:noFill/>
        <a:ln w="28575">
          <a:solidFill>
            <a:srgbClr val="339966"/>
          </a:solidFill>
          <a:round/>
          <a:headEnd/>
          <a:tailEnd/>
        </a:ln>
      </xdr:spPr>
    </xdr:sp>
    <xdr:clientData fLocksWithSheet="0"/>
  </xdr:twoCellAnchor>
  <xdr:twoCellAnchor>
    <xdr:from>
      <xdr:col>7</xdr:col>
      <xdr:colOff>552452</xdr:colOff>
      <xdr:row>17</xdr:row>
      <xdr:rowOff>19044</xdr:rowOff>
    </xdr:from>
    <xdr:to>
      <xdr:col>7</xdr:col>
      <xdr:colOff>552452</xdr:colOff>
      <xdr:row>19</xdr:row>
      <xdr:rowOff>152394</xdr:rowOff>
    </xdr:to>
    <xdr:sp macro="" textlink="">
      <xdr:nvSpPr>
        <xdr:cNvPr id="92" name="Line 4"/>
        <xdr:cNvSpPr>
          <a:spLocks noChangeShapeType="1"/>
        </xdr:cNvSpPr>
      </xdr:nvSpPr>
      <xdr:spPr bwMode="auto">
        <a:xfrm rot="10800000" flipV="1">
          <a:off x="4819652" y="2771769"/>
          <a:ext cx="0" cy="457200"/>
        </a:xfrm>
        <a:prstGeom prst="line">
          <a:avLst/>
        </a:prstGeom>
        <a:noFill/>
        <a:ln w="28575">
          <a:solidFill>
            <a:srgbClr val="0066FF"/>
          </a:solidFill>
          <a:round/>
          <a:headEnd/>
          <a:tailEnd/>
        </a:ln>
      </xdr:spPr>
    </xdr:sp>
    <xdr:clientData fLocksWithSheet="0"/>
  </xdr:twoCellAnchor>
  <xdr:twoCellAnchor>
    <xdr:from>
      <xdr:col>8</xdr:col>
      <xdr:colOff>200027</xdr:colOff>
      <xdr:row>44</xdr:row>
      <xdr:rowOff>108581</xdr:rowOff>
    </xdr:from>
    <xdr:to>
      <xdr:col>8</xdr:col>
      <xdr:colOff>200027</xdr:colOff>
      <xdr:row>49</xdr:row>
      <xdr:rowOff>121916</xdr:rowOff>
    </xdr:to>
    <xdr:sp macro="" textlink="">
      <xdr:nvSpPr>
        <xdr:cNvPr id="96" name="Line 6"/>
        <xdr:cNvSpPr>
          <a:spLocks noChangeShapeType="1"/>
        </xdr:cNvSpPr>
      </xdr:nvSpPr>
      <xdr:spPr bwMode="auto">
        <a:xfrm rot="10800000" flipH="1">
          <a:off x="5076827" y="7233281"/>
          <a:ext cx="0" cy="822960"/>
        </a:xfrm>
        <a:prstGeom prst="line">
          <a:avLst/>
        </a:prstGeom>
        <a:noFill/>
        <a:ln w="28575">
          <a:solidFill>
            <a:srgbClr val="FF0000"/>
          </a:solidFill>
          <a:round/>
          <a:headEnd/>
          <a:tailEnd/>
        </a:ln>
      </xdr:spPr>
    </xdr:sp>
    <xdr:clientData fLocksWithSheet="0"/>
  </xdr:twoCellAnchor>
  <xdr:twoCellAnchor>
    <xdr:from>
      <xdr:col>3</xdr:col>
      <xdr:colOff>400052</xdr:colOff>
      <xdr:row>7</xdr:row>
      <xdr:rowOff>95246</xdr:rowOff>
    </xdr:from>
    <xdr:to>
      <xdr:col>8</xdr:col>
      <xdr:colOff>3812</xdr:colOff>
      <xdr:row>7</xdr:row>
      <xdr:rowOff>95246</xdr:rowOff>
    </xdr:to>
    <xdr:sp macro="" textlink="">
      <xdr:nvSpPr>
        <xdr:cNvPr id="16" name="Line 13"/>
        <xdr:cNvSpPr>
          <a:spLocks noChangeShapeType="1"/>
        </xdr:cNvSpPr>
      </xdr:nvSpPr>
      <xdr:spPr bwMode="auto">
        <a:xfrm>
          <a:off x="2228852" y="1228721"/>
          <a:ext cx="2651760" cy="0"/>
        </a:xfrm>
        <a:prstGeom prst="line">
          <a:avLst/>
        </a:prstGeom>
        <a:noFill/>
        <a:ln w="28575">
          <a:solidFill>
            <a:srgbClr val="339966"/>
          </a:solidFill>
          <a:round/>
          <a:headEnd/>
          <a:tailEnd/>
        </a:ln>
      </xdr:spPr>
    </xdr:sp>
    <xdr:clientData fLocksWithSheet="0"/>
  </xdr:twoCellAnchor>
  <xdr:twoCellAnchor>
    <xdr:from>
      <xdr:col>6</xdr:col>
      <xdr:colOff>238127</xdr:colOff>
      <xdr:row>11</xdr:row>
      <xdr:rowOff>95246</xdr:rowOff>
    </xdr:from>
    <xdr:to>
      <xdr:col>8</xdr:col>
      <xdr:colOff>116207</xdr:colOff>
      <xdr:row>11</xdr:row>
      <xdr:rowOff>95246</xdr:rowOff>
    </xdr:to>
    <xdr:sp macro="" textlink="">
      <xdr:nvSpPr>
        <xdr:cNvPr id="17" name="Line 13"/>
        <xdr:cNvSpPr>
          <a:spLocks noChangeShapeType="1"/>
        </xdr:cNvSpPr>
      </xdr:nvSpPr>
      <xdr:spPr bwMode="auto">
        <a:xfrm>
          <a:off x="3895727" y="1876421"/>
          <a:ext cx="1097280" cy="0"/>
        </a:xfrm>
        <a:prstGeom prst="line">
          <a:avLst/>
        </a:prstGeom>
        <a:noFill/>
        <a:ln w="28575">
          <a:solidFill>
            <a:srgbClr val="339966"/>
          </a:solidFill>
          <a:round/>
          <a:headEnd/>
          <a:tailEnd/>
        </a:ln>
      </xdr:spPr>
    </xdr:sp>
    <xdr:clientData fLocksWithSheet="0"/>
  </xdr:twoCellAnchor>
  <xdr:twoCellAnchor>
    <xdr:from>
      <xdr:col>1</xdr:col>
      <xdr:colOff>285755</xdr:colOff>
      <xdr:row>13</xdr:row>
      <xdr:rowOff>133346</xdr:rowOff>
    </xdr:from>
    <xdr:to>
      <xdr:col>8</xdr:col>
      <xdr:colOff>499115</xdr:colOff>
      <xdr:row>13</xdr:row>
      <xdr:rowOff>133346</xdr:rowOff>
    </xdr:to>
    <xdr:sp macro="" textlink="">
      <xdr:nvSpPr>
        <xdr:cNvPr id="18" name="Line 10"/>
        <xdr:cNvSpPr>
          <a:spLocks noChangeShapeType="1"/>
        </xdr:cNvSpPr>
      </xdr:nvSpPr>
      <xdr:spPr bwMode="auto">
        <a:xfrm flipV="1">
          <a:off x="895355" y="2238371"/>
          <a:ext cx="4480560" cy="0"/>
        </a:xfrm>
        <a:prstGeom prst="line">
          <a:avLst/>
        </a:prstGeom>
        <a:noFill/>
        <a:ln w="28575">
          <a:solidFill>
            <a:srgbClr val="FF0000"/>
          </a:solidFill>
          <a:round/>
          <a:headEnd/>
          <a:tailEnd/>
        </a:ln>
      </xdr:spPr>
    </xdr:sp>
    <xdr:clientData fLocksWithSheet="0"/>
  </xdr:twoCellAnchor>
  <xdr:twoCellAnchor>
    <xdr:from>
      <xdr:col>1</xdr:col>
      <xdr:colOff>285755</xdr:colOff>
      <xdr:row>13</xdr:row>
      <xdr:rowOff>57146</xdr:rowOff>
    </xdr:from>
    <xdr:to>
      <xdr:col>8</xdr:col>
      <xdr:colOff>499115</xdr:colOff>
      <xdr:row>13</xdr:row>
      <xdr:rowOff>57146</xdr:rowOff>
    </xdr:to>
    <xdr:sp macro="" textlink="">
      <xdr:nvSpPr>
        <xdr:cNvPr id="19" name="Line 10"/>
        <xdr:cNvSpPr>
          <a:spLocks noChangeShapeType="1"/>
        </xdr:cNvSpPr>
      </xdr:nvSpPr>
      <xdr:spPr bwMode="auto">
        <a:xfrm flipV="1">
          <a:off x="895355" y="2162171"/>
          <a:ext cx="4480560" cy="0"/>
        </a:xfrm>
        <a:prstGeom prst="line">
          <a:avLst/>
        </a:prstGeom>
        <a:noFill/>
        <a:ln w="28575">
          <a:solidFill>
            <a:srgbClr val="FF0000"/>
          </a:solidFill>
          <a:round/>
          <a:headEnd/>
          <a:tailEnd/>
        </a:ln>
      </xdr:spPr>
    </xdr:sp>
    <xdr:clientData fLocksWithSheet="0"/>
  </xdr:twoCellAnchor>
  <xdr:twoCellAnchor>
    <xdr:from>
      <xdr:col>1</xdr:col>
      <xdr:colOff>280988</xdr:colOff>
      <xdr:row>18</xdr:row>
      <xdr:rowOff>33333</xdr:rowOff>
    </xdr:from>
    <xdr:to>
      <xdr:col>6</xdr:col>
      <xdr:colOff>433388</xdr:colOff>
      <xdr:row>18</xdr:row>
      <xdr:rowOff>33333</xdr:rowOff>
    </xdr:to>
    <xdr:sp macro="" textlink="">
      <xdr:nvSpPr>
        <xdr:cNvPr id="20" name="Line 3"/>
        <xdr:cNvSpPr>
          <a:spLocks noChangeShapeType="1"/>
        </xdr:cNvSpPr>
      </xdr:nvSpPr>
      <xdr:spPr bwMode="auto">
        <a:xfrm>
          <a:off x="890588" y="2947983"/>
          <a:ext cx="3200400" cy="0"/>
        </a:xfrm>
        <a:prstGeom prst="line">
          <a:avLst/>
        </a:prstGeom>
        <a:noFill/>
        <a:ln w="28575">
          <a:solidFill>
            <a:srgbClr val="339966"/>
          </a:solidFill>
          <a:round/>
          <a:headEnd/>
          <a:tailEnd/>
        </a:ln>
      </xdr:spPr>
    </xdr:sp>
    <xdr:clientData fLocksWithSheet="0"/>
  </xdr:twoCellAnchor>
  <xdr:twoCellAnchor>
    <xdr:from>
      <xdr:col>1</xdr:col>
      <xdr:colOff>280988</xdr:colOff>
      <xdr:row>18</xdr:row>
      <xdr:rowOff>95246</xdr:rowOff>
    </xdr:from>
    <xdr:to>
      <xdr:col>6</xdr:col>
      <xdr:colOff>433388</xdr:colOff>
      <xdr:row>18</xdr:row>
      <xdr:rowOff>95246</xdr:rowOff>
    </xdr:to>
    <xdr:sp macro="" textlink="">
      <xdr:nvSpPr>
        <xdr:cNvPr id="21" name="Line 3"/>
        <xdr:cNvSpPr>
          <a:spLocks noChangeShapeType="1"/>
        </xdr:cNvSpPr>
      </xdr:nvSpPr>
      <xdr:spPr bwMode="auto">
        <a:xfrm>
          <a:off x="890588" y="3009896"/>
          <a:ext cx="3200400" cy="0"/>
        </a:xfrm>
        <a:prstGeom prst="line">
          <a:avLst/>
        </a:prstGeom>
        <a:noFill/>
        <a:ln w="28575">
          <a:solidFill>
            <a:srgbClr val="339966"/>
          </a:solidFill>
          <a:round/>
          <a:headEnd/>
          <a:tailEnd/>
        </a:ln>
      </xdr:spPr>
    </xdr:sp>
    <xdr:clientData fLocksWithSheet="0"/>
  </xdr:twoCellAnchor>
  <xdr:twoCellAnchor>
    <xdr:from>
      <xdr:col>1</xdr:col>
      <xdr:colOff>280988</xdr:colOff>
      <xdr:row>18</xdr:row>
      <xdr:rowOff>161921</xdr:rowOff>
    </xdr:from>
    <xdr:to>
      <xdr:col>6</xdr:col>
      <xdr:colOff>433388</xdr:colOff>
      <xdr:row>18</xdr:row>
      <xdr:rowOff>161921</xdr:rowOff>
    </xdr:to>
    <xdr:sp macro="" textlink="">
      <xdr:nvSpPr>
        <xdr:cNvPr id="22" name="Line 3"/>
        <xdr:cNvSpPr>
          <a:spLocks noChangeShapeType="1"/>
        </xdr:cNvSpPr>
      </xdr:nvSpPr>
      <xdr:spPr bwMode="auto">
        <a:xfrm>
          <a:off x="890588" y="3076571"/>
          <a:ext cx="3200400" cy="0"/>
        </a:xfrm>
        <a:prstGeom prst="line">
          <a:avLst/>
        </a:prstGeom>
        <a:noFill/>
        <a:ln w="28575">
          <a:solidFill>
            <a:srgbClr val="339966"/>
          </a:solidFill>
          <a:round/>
          <a:headEnd/>
          <a:tailEnd/>
        </a:ln>
      </xdr:spPr>
    </xdr:sp>
    <xdr:clientData fLocksWithSheet="0"/>
  </xdr:twoCellAnchor>
  <xdr:twoCellAnchor>
    <xdr:from>
      <xdr:col>5</xdr:col>
      <xdr:colOff>438153</xdr:colOff>
      <xdr:row>16</xdr:row>
      <xdr:rowOff>89531</xdr:rowOff>
    </xdr:from>
    <xdr:to>
      <xdr:col>5</xdr:col>
      <xdr:colOff>438153</xdr:colOff>
      <xdr:row>19</xdr:row>
      <xdr:rowOff>152396</xdr:rowOff>
    </xdr:to>
    <xdr:sp macro="" textlink="">
      <xdr:nvSpPr>
        <xdr:cNvPr id="23" name="Line 4"/>
        <xdr:cNvSpPr>
          <a:spLocks noChangeShapeType="1"/>
        </xdr:cNvSpPr>
      </xdr:nvSpPr>
      <xdr:spPr bwMode="auto">
        <a:xfrm rot="10800000" flipV="1">
          <a:off x="3486153" y="2680331"/>
          <a:ext cx="0" cy="548640"/>
        </a:xfrm>
        <a:prstGeom prst="line">
          <a:avLst/>
        </a:prstGeom>
        <a:noFill/>
        <a:ln w="28575">
          <a:solidFill>
            <a:srgbClr val="339966"/>
          </a:solidFill>
          <a:round/>
          <a:headEnd/>
          <a:tailEnd/>
        </a:ln>
      </xdr:spPr>
    </xdr:sp>
    <xdr:clientData fLocksWithSheet="0"/>
  </xdr:twoCellAnchor>
  <xdr:twoCellAnchor>
    <xdr:from>
      <xdr:col>5</xdr:col>
      <xdr:colOff>509590</xdr:colOff>
      <xdr:row>16</xdr:row>
      <xdr:rowOff>89531</xdr:rowOff>
    </xdr:from>
    <xdr:to>
      <xdr:col>5</xdr:col>
      <xdr:colOff>509590</xdr:colOff>
      <xdr:row>19</xdr:row>
      <xdr:rowOff>152396</xdr:rowOff>
    </xdr:to>
    <xdr:sp macro="" textlink="">
      <xdr:nvSpPr>
        <xdr:cNvPr id="24" name="Line 4"/>
        <xdr:cNvSpPr>
          <a:spLocks noChangeShapeType="1"/>
        </xdr:cNvSpPr>
      </xdr:nvSpPr>
      <xdr:spPr bwMode="auto">
        <a:xfrm rot="10800000" flipV="1">
          <a:off x="3557590" y="2680331"/>
          <a:ext cx="0" cy="548640"/>
        </a:xfrm>
        <a:prstGeom prst="line">
          <a:avLst/>
        </a:prstGeom>
        <a:noFill/>
        <a:ln w="28575">
          <a:solidFill>
            <a:srgbClr val="339966"/>
          </a:solidFill>
          <a:round/>
          <a:headEnd/>
          <a:tailEnd/>
        </a:ln>
      </xdr:spPr>
    </xdr:sp>
    <xdr:clientData fLocksWithSheet="0"/>
  </xdr:twoCellAnchor>
  <xdr:twoCellAnchor>
    <xdr:from>
      <xdr:col>5</xdr:col>
      <xdr:colOff>581028</xdr:colOff>
      <xdr:row>16</xdr:row>
      <xdr:rowOff>89531</xdr:rowOff>
    </xdr:from>
    <xdr:to>
      <xdr:col>5</xdr:col>
      <xdr:colOff>581028</xdr:colOff>
      <xdr:row>19</xdr:row>
      <xdr:rowOff>152396</xdr:rowOff>
    </xdr:to>
    <xdr:sp macro="" textlink="">
      <xdr:nvSpPr>
        <xdr:cNvPr id="25" name="Line 4"/>
        <xdr:cNvSpPr>
          <a:spLocks noChangeShapeType="1"/>
        </xdr:cNvSpPr>
      </xdr:nvSpPr>
      <xdr:spPr bwMode="auto">
        <a:xfrm rot="10800000" flipV="1">
          <a:off x="3629028" y="2680331"/>
          <a:ext cx="0" cy="548640"/>
        </a:xfrm>
        <a:prstGeom prst="line">
          <a:avLst/>
        </a:prstGeom>
        <a:noFill/>
        <a:ln w="28575">
          <a:solidFill>
            <a:srgbClr val="339966"/>
          </a:solidFill>
          <a:round/>
          <a:headEnd/>
          <a:tailEnd/>
        </a:ln>
      </xdr:spPr>
    </xdr:sp>
    <xdr:clientData fLocksWithSheet="0"/>
  </xdr:twoCellAnchor>
  <xdr:twoCellAnchor>
    <xdr:from>
      <xdr:col>1</xdr:col>
      <xdr:colOff>285752</xdr:colOff>
      <xdr:row>16</xdr:row>
      <xdr:rowOff>71433</xdr:rowOff>
    </xdr:from>
    <xdr:to>
      <xdr:col>7</xdr:col>
      <xdr:colOff>560072</xdr:colOff>
      <xdr:row>16</xdr:row>
      <xdr:rowOff>71433</xdr:rowOff>
    </xdr:to>
    <xdr:sp macro="" textlink="">
      <xdr:nvSpPr>
        <xdr:cNvPr id="26" name="Line 3"/>
        <xdr:cNvSpPr>
          <a:spLocks noChangeShapeType="1"/>
        </xdr:cNvSpPr>
      </xdr:nvSpPr>
      <xdr:spPr bwMode="auto">
        <a:xfrm>
          <a:off x="895352" y="2662233"/>
          <a:ext cx="3931920" cy="0"/>
        </a:xfrm>
        <a:prstGeom prst="line">
          <a:avLst/>
        </a:prstGeom>
        <a:noFill/>
        <a:ln w="28575">
          <a:solidFill>
            <a:srgbClr val="0066FF"/>
          </a:solidFill>
          <a:round/>
          <a:headEnd/>
          <a:tailEnd/>
        </a:ln>
      </xdr:spPr>
    </xdr:sp>
    <xdr:clientData fLocksWithSheet="0"/>
  </xdr:twoCellAnchor>
  <xdr:twoCellAnchor>
    <xdr:from>
      <xdr:col>1</xdr:col>
      <xdr:colOff>285752</xdr:colOff>
      <xdr:row>16</xdr:row>
      <xdr:rowOff>14283</xdr:rowOff>
    </xdr:from>
    <xdr:to>
      <xdr:col>7</xdr:col>
      <xdr:colOff>560072</xdr:colOff>
      <xdr:row>16</xdr:row>
      <xdr:rowOff>14283</xdr:rowOff>
    </xdr:to>
    <xdr:sp macro="" textlink="">
      <xdr:nvSpPr>
        <xdr:cNvPr id="27" name="Line 3"/>
        <xdr:cNvSpPr>
          <a:spLocks noChangeShapeType="1"/>
        </xdr:cNvSpPr>
      </xdr:nvSpPr>
      <xdr:spPr bwMode="auto">
        <a:xfrm>
          <a:off x="895352" y="2605083"/>
          <a:ext cx="3931920" cy="0"/>
        </a:xfrm>
        <a:prstGeom prst="line">
          <a:avLst/>
        </a:prstGeom>
        <a:noFill/>
        <a:ln w="28575">
          <a:solidFill>
            <a:srgbClr val="0066FF"/>
          </a:solidFill>
          <a:round/>
          <a:headEnd/>
          <a:tailEnd/>
        </a:ln>
      </xdr:spPr>
    </xdr:sp>
    <xdr:clientData fLocksWithSheet="0"/>
  </xdr:twoCellAnchor>
  <xdr:twoCellAnchor>
    <xdr:from>
      <xdr:col>1</xdr:col>
      <xdr:colOff>285752</xdr:colOff>
      <xdr:row>15</xdr:row>
      <xdr:rowOff>119058</xdr:rowOff>
    </xdr:from>
    <xdr:to>
      <xdr:col>7</xdr:col>
      <xdr:colOff>560072</xdr:colOff>
      <xdr:row>15</xdr:row>
      <xdr:rowOff>119058</xdr:rowOff>
    </xdr:to>
    <xdr:sp macro="" textlink="">
      <xdr:nvSpPr>
        <xdr:cNvPr id="28" name="Line 3"/>
        <xdr:cNvSpPr>
          <a:spLocks noChangeShapeType="1"/>
        </xdr:cNvSpPr>
      </xdr:nvSpPr>
      <xdr:spPr bwMode="auto">
        <a:xfrm>
          <a:off x="895352" y="2547933"/>
          <a:ext cx="3931920" cy="0"/>
        </a:xfrm>
        <a:prstGeom prst="line">
          <a:avLst/>
        </a:prstGeom>
        <a:noFill/>
        <a:ln w="28575">
          <a:solidFill>
            <a:srgbClr val="0066FF"/>
          </a:solidFill>
          <a:round/>
          <a:headEnd/>
          <a:tailEnd/>
        </a:ln>
      </xdr:spPr>
    </xdr:sp>
    <xdr:clientData fLocksWithSheet="0"/>
  </xdr:twoCellAnchor>
  <xdr:twoCellAnchor>
    <xdr:from>
      <xdr:col>7</xdr:col>
      <xdr:colOff>495302</xdr:colOff>
      <xdr:row>17</xdr:row>
      <xdr:rowOff>19044</xdr:rowOff>
    </xdr:from>
    <xdr:to>
      <xdr:col>7</xdr:col>
      <xdr:colOff>495302</xdr:colOff>
      <xdr:row>19</xdr:row>
      <xdr:rowOff>152394</xdr:rowOff>
    </xdr:to>
    <xdr:sp macro="" textlink="">
      <xdr:nvSpPr>
        <xdr:cNvPr id="29" name="Line 4"/>
        <xdr:cNvSpPr>
          <a:spLocks noChangeShapeType="1"/>
        </xdr:cNvSpPr>
      </xdr:nvSpPr>
      <xdr:spPr bwMode="auto">
        <a:xfrm rot="10800000" flipV="1">
          <a:off x="4762502" y="2771769"/>
          <a:ext cx="0" cy="457200"/>
        </a:xfrm>
        <a:prstGeom prst="line">
          <a:avLst/>
        </a:prstGeom>
        <a:noFill/>
        <a:ln w="28575">
          <a:solidFill>
            <a:srgbClr val="0066FF"/>
          </a:solidFill>
          <a:round/>
          <a:headEnd/>
          <a:tailEnd/>
        </a:ln>
      </xdr:spPr>
    </xdr:sp>
    <xdr:clientData fLocksWithSheet="0"/>
  </xdr:twoCellAnchor>
  <xdr:twoCellAnchor>
    <xdr:from>
      <xdr:col>8</xdr:col>
      <xdr:colOff>4764</xdr:colOff>
      <xdr:row>17</xdr:row>
      <xdr:rowOff>19044</xdr:rowOff>
    </xdr:from>
    <xdr:to>
      <xdr:col>8</xdr:col>
      <xdr:colOff>4764</xdr:colOff>
      <xdr:row>19</xdr:row>
      <xdr:rowOff>152394</xdr:rowOff>
    </xdr:to>
    <xdr:sp macro="" textlink="">
      <xdr:nvSpPr>
        <xdr:cNvPr id="30" name="Line 4"/>
        <xdr:cNvSpPr>
          <a:spLocks noChangeShapeType="1"/>
        </xdr:cNvSpPr>
      </xdr:nvSpPr>
      <xdr:spPr bwMode="auto">
        <a:xfrm rot="10800000" flipV="1">
          <a:off x="4881564" y="2771769"/>
          <a:ext cx="0" cy="457200"/>
        </a:xfrm>
        <a:prstGeom prst="line">
          <a:avLst/>
        </a:prstGeom>
        <a:noFill/>
        <a:ln w="28575">
          <a:solidFill>
            <a:srgbClr val="0066FF"/>
          </a:solidFill>
          <a:round/>
          <a:headEnd/>
          <a:tailEnd/>
        </a:ln>
      </xdr:spPr>
    </xdr:sp>
    <xdr:clientData fLocksWithSheet="0"/>
  </xdr:twoCellAnchor>
  <xdr:twoCellAnchor>
    <xdr:from>
      <xdr:col>8</xdr:col>
      <xdr:colOff>66677</xdr:colOff>
      <xdr:row>17</xdr:row>
      <xdr:rowOff>19044</xdr:rowOff>
    </xdr:from>
    <xdr:to>
      <xdr:col>8</xdr:col>
      <xdr:colOff>66677</xdr:colOff>
      <xdr:row>19</xdr:row>
      <xdr:rowOff>152394</xdr:rowOff>
    </xdr:to>
    <xdr:sp macro="" textlink="">
      <xdr:nvSpPr>
        <xdr:cNvPr id="31" name="Line 4"/>
        <xdr:cNvSpPr>
          <a:spLocks noChangeShapeType="1"/>
        </xdr:cNvSpPr>
      </xdr:nvSpPr>
      <xdr:spPr bwMode="auto">
        <a:xfrm rot="10800000" flipV="1">
          <a:off x="4943477" y="2771769"/>
          <a:ext cx="0" cy="457200"/>
        </a:xfrm>
        <a:prstGeom prst="line">
          <a:avLst/>
        </a:prstGeom>
        <a:noFill/>
        <a:ln w="28575">
          <a:solidFill>
            <a:srgbClr val="0066FF"/>
          </a:solidFill>
          <a:round/>
          <a:headEnd/>
          <a:tailEnd/>
        </a:ln>
      </xdr:spPr>
    </xdr:sp>
    <xdr:clientData fLocksWithSheet="0"/>
  </xdr:twoCellAnchor>
  <xdr:twoCellAnchor>
    <xdr:from>
      <xdr:col>8</xdr:col>
      <xdr:colOff>585790</xdr:colOff>
      <xdr:row>14</xdr:row>
      <xdr:rowOff>45716</xdr:rowOff>
    </xdr:from>
    <xdr:to>
      <xdr:col>8</xdr:col>
      <xdr:colOff>585790</xdr:colOff>
      <xdr:row>19</xdr:row>
      <xdr:rowOff>150491</xdr:rowOff>
    </xdr:to>
    <xdr:sp macro="" textlink="">
      <xdr:nvSpPr>
        <xdr:cNvPr id="32" name="Line 6"/>
        <xdr:cNvSpPr>
          <a:spLocks noChangeShapeType="1"/>
        </xdr:cNvSpPr>
      </xdr:nvSpPr>
      <xdr:spPr bwMode="auto">
        <a:xfrm rot="10800000" flipH="1">
          <a:off x="5462590" y="2312666"/>
          <a:ext cx="0" cy="914400"/>
        </a:xfrm>
        <a:prstGeom prst="line">
          <a:avLst/>
        </a:prstGeom>
        <a:noFill/>
        <a:ln w="28575">
          <a:solidFill>
            <a:srgbClr val="FF0000"/>
          </a:solidFill>
          <a:round/>
          <a:headEnd/>
          <a:tailEnd/>
        </a:ln>
      </xdr:spPr>
    </xdr:sp>
    <xdr:clientData fLocksWithSheet="0"/>
  </xdr:twoCellAnchor>
  <xdr:twoCellAnchor>
    <xdr:from>
      <xdr:col>9</xdr:col>
      <xdr:colOff>42865</xdr:colOff>
      <xdr:row>14</xdr:row>
      <xdr:rowOff>45716</xdr:rowOff>
    </xdr:from>
    <xdr:to>
      <xdr:col>9</xdr:col>
      <xdr:colOff>42865</xdr:colOff>
      <xdr:row>19</xdr:row>
      <xdr:rowOff>150491</xdr:rowOff>
    </xdr:to>
    <xdr:sp macro="" textlink="">
      <xdr:nvSpPr>
        <xdr:cNvPr id="33" name="Line 6"/>
        <xdr:cNvSpPr>
          <a:spLocks noChangeShapeType="1"/>
        </xdr:cNvSpPr>
      </xdr:nvSpPr>
      <xdr:spPr bwMode="auto">
        <a:xfrm rot="10800000" flipH="1">
          <a:off x="5529265" y="2312666"/>
          <a:ext cx="0" cy="914400"/>
        </a:xfrm>
        <a:prstGeom prst="line">
          <a:avLst/>
        </a:prstGeom>
        <a:noFill/>
        <a:ln w="28575">
          <a:solidFill>
            <a:srgbClr val="FF0000"/>
          </a:solidFill>
          <a:round/>
          <a:headEnd/>
          <a:tailEnd/>
        </a:ln>
      </xdr:spPr>
    </xdr:sp>
    <xdr:clientData fLocksWithSheet="0"/>
  </xdr:twoCellAnchor>
  <xdr:twoCellAnchor>
    <xdr:from>
      <xdr:col>9</xdr:col>
      <xdr:colOff>114302</xdr:colOff>
      <xdr:row>14</xdr:row>
      <xdr:rowOff>45716</xdr:rowOff>
    </xdr:from>
    <xdr:to>
      <xdr:col>9</xdr:col>
      <xdr:colOff>114302</xdr:colOff>
      <xdr:row>19</xdr:row>
      <xdr:rowOff>150491</xdr:rowOff>
    </xdr:to>
    <xdr:sp macro="" textlink="">
      <xdr:nvSpPr>
        <xdr:cNvPr id="34" name="Line 6"/>
        <xdr:cNvSpPr>
          <a:spLocks noChangeShapeType="1"/>
        </xdr:cNvSpPr>
      </xdr:nvSpPr>
      <xdr:spPr bwMode="auto">
        <a:xfrm rot="10800000" flipH="1">
          <a:off x="5600702" y="2312666"/>
          <a:ext cx="0" cy="914400"/>
        </a:xfrm>
        <a:prstGeom prst="line">
          <a:avLst/>
        </a:prstGeom>
        <a:noFill/>
        <a:ln w="28575">
          <a:solidFill>
            <a:srgbClr val="FF0000"/>
          </a:solidFill>
          <a:round/>
          <a:headEnd/>
          <a:tailEnd/>
        </a:ln>
      </xdr:spPr>
    </xdr:sp>
    <xdr:clientData fLocksWithSheet="0"/>
  </xdr:twoCellAnchor>
  <xdr:twoCellAnchor>
    <xdr:from>
      <xdr:col>5</xdr:col>
      <xdr:colOff>47626</xdr:colOff>
      <xdr:row>39</xdr:row>
      <xdr:rowOff>104771</xdr:rowOff>
    </xdr:from>
    <xdr:to>
      <xdr:col>9</xdr:col>
      <xdr:colOff>260986</xdr:colOff>
      <xdr:row>39</xdr:row>
      <xdr:rowOff>104771</xdr:rowOff>
    </xdr:to>
    <xdr:sp macro="" textlink="">
      <xdr:nvSpPr>
        <xdr:cNvPr id="35" name="Line 16"/>
        <xdr:cNvSpPr>
          <a:spLocks noChangeShapeType="1"/>
        </xdr:cNvSpPr>
      </xdr:nvSpPr>
      <xdr:spPr bwMode="auto">
        <a:xfrm>
          <a:off x="3095626" y="6419846"/>
          <a:ext cx="2651760" cy="0"/>
        </a:xfrm>
        <a:prstGeom prst="line">
          <a:avLst/>
        </a:prstGeom>
        <a:noFill/>
        <a:ln w="28575">
          <a:solidFill>
            <a:srgbClr val="339966"/>
          </a:solidFill>
          <a:round/>
          <a:headEnd/>
          <a:tailEnd/>
        </a:ln>
      </xdr:spPr>
    </xdr:sp>
    <xdr:clientData fLocksWithSheet="0"/>
  </xdr:twoCellAnchor>
  <xdr:twoCellAnchor>
    <xdr:from>
      <xdr:col>7</xdr:col>
      <xdr:colOff>176214</xdr:colOff>
      <xdr:row>43</xdr:row>
      <xdr:rowOff>161920</xdr:rowOff>
    </xdr:from>
    <xdr:to>
      <xdr:col>9</xdr:col>
      <xdr:colOff>54294</xdr:colOff>
      <xdr:row>43</xdr:row>
      <xdr:rowOff>161920</xdr:rowOff>
    </xdr:to>
    <xdr:sp macro="" textlink="">
      <xdr:nvSpPr>
        <xdr:cNvPr id="36" name="Line 16"/>
        <xdr:cNvSpPr>
          <a:spLocks noChangeShapeType="1"/>
        </xdr:cNvSpPr>
      </xdr:nvSpPr>
      <xdr:spPr bwMode="auto">
        <a:xfrm>
          <a:off x="4443414" y="7124695"/>
          <a:ext cx="1097280" cy="0"/>
        </a:xfrm>
        <a:prstGeom prst="line">
          <a:avLst/>
        </a:prstGeom>
        <a:noFill/>
        <a:ln w="28575">
          <a:solidFill>
            <a:srgbClr val="339966"/>
          </a:solidFill>
          <a:round/>
          <a:headEnd/>
          <a:tailEnd/>
        </a:ln>
      </xdr:spPr>
    </xdr:sp>
    <xdr:clientData fLocksWithSheet="0"/>
  </xdr:twoCellAnchor>
  <xdr:twoCellAnchor>
    <xdr:from>
      <xdr:col>1</xdr:col>
      <xdr:colOff>185740</xdr:colOff>
      <xdr:row>46</xdr:row>
      <xdr:rowOff>42858</xdr:rowOff>
    </xdr:from>
    <xdr:to>
      <xdr:col>7</xdr:col>
      <xdr:colOff>460060</xdr:colOff>
      <xdr:row>46</xdr:row>
      <xdr:rowOff>42858</xdr:rowOff>
    </xdr:to>
    <xdr:sp macro="" textlink="">
      <xdr:nvSpPr>
        <xdr:cNvPr id="37" name="Line 3"/>
        <xdr:cNvSpPr>
          <a:spLocks noChangeShapeType="1"/>
        </xdr:cNvSpPr>
      </xdr:nvSpPr>
      <xdr:spPr bwMode="auto">
        <a:xfrm>
          <a:off x="795340" y="7491408"/>
          <a:ext cx="3931920" cy="0"/>
        </a:xfrm>
        <a:prstGeom prst="line">
          <a:avLst/>
        </a:prstGeom>
        <a:noFill/>
        <a:ln w="28575">
          <a:solidFill>
            <a:srgbClr val="0066FF"/>
          </a:solidFill>
          <a:round/>
          <a:headEnd/>
          <a:tailEnd/>
        </a:ln>
      </xdr:spPr>
    </xdr:sp>
    <xdr:clientData fLocksWithSheet="0"/>
  </xdr:twoCellAnchor>
  <xdr:twoCellAnchor>
    <xdr:from>
      <xdr:col>1</xdr:col>
      <xdr:colOff>185738</xdr:colOff>
      <xdr:row>47</xdr:row>
      <xdr:rowOff>114296</xdr:rowOff>
    </xdr:from>
    <xdr:to>
      <xdr:col>6</xdr:col>
      <xdr:colOff>338138</xdr:colOff>
      <xdr:row>47</xdr:row>
      <xdr:rowOff>114296</xdr:rowOff>
    </xdr:to>
    <xdr:sp macro="" textlink="">
      <xdr:nvSpPr>
        <xdr:cNvPr id="38" name="Line 3"/>
        <xdr:cNvSpPr>
          <a:spLocks noChangeShapeType="1"/>
        </xdr:cNvSpPr>
      </xdr:nvSpPr>
      <xdr:spPr bwMode="auto">
        <a:xfrm>
          <a:off x="795338" y="7724771"/>
          <a:ext cx="3200400" cy="0"/>
        </a:xfrm>
        <a:prstGeom prst="line">
          <a:avLst/>
        </a:prstGeom>
        <a:noFill/>
        <a:ln w="28575">
          <a:solidFill>
            <a:srgbClr val="339966"/>
          </a:solidFill>
          <a:round/>
          <a:headEnd/>
          <a:tailEnd/>
        </a:ln>
      </xdr:spPr>
    </xdr:sp>
    <xdr:clientData fLocksWithSheet="0"/>
  </xdr:twoCellAnchor>
  <xdr:twoCellAnchor>
    <xdr:from>
      <xdr:col>6</xdr:col>
      <xdr:colOff>338140</xdr:colOff>
      <xdr:row>47</xdr:row>
      <xdr:rowOff>86673</xdr:rowOff>
    </xdr:from>
    <xdr:to>
      <xdr:col>6</xdr:col>
      <xdr:colOff>338140</xdr:colOff>
      <xdr:row>49</xdr:row>
      <xdr:rowOff>128583</xdr:rowOff>
    </xdr:to>
    <xdr:sp macro="" textlink="">
      <xdr:nvSpPr>
        <xdr:cNvPr id="39" name="Line 4"/>
        <xdr:cNvSpPr>
          <a:spLocks noChangeShapeType="1"/>
        </xdr:cNvSpPr>
      </xdr:nvSpPr>
      <xdr:spPr bwMode="auto">
        <a:xfrm rot="10800000" flipV="1">
          <a:off x="3995740" y="7697148"/>
          <a:ext cx="0" cy="365760"/>
        </a:xfrm>
        <a:prstGeom prst="line">
          <a:avLst/>
        </a:prstGeom>
        <a:noFill/>
        <a:ln w="28575">
          <a:solidFill>
            <a:srgbClr val="339966"/>
          </a:solidFill>
          <a:round/>
          <a:headEnd/>
          <a:tailEnd/>
        </a:ln>
      </xdr:spPr>
    </xdr:sp>
    <xdr:clientData fLocksWithSheet="0"/>
  </xdr:twoCellAnchor>
  <xdr:twoCellAnchor>
    <xdr:from>
      <xdr:col>7</xdr:col>
      <xdr:colOff>471489</xdr:colOff>
      <xdr:row>46</xdr:row>
      <xdr:rowOff>65717</xdr:rowOff>
    </xdr:from>
    <xdr:to>
      <xdr:col>7</xdr:col>
      <xdr:colOff>471489</xdr:colOff>
      <xdr:row>49</xdr:row>
      <xdr:rowOff>128582</xdr:rowOff>
    </xdr:to>
    <xdr:sp macro="" textlink="">
      <xdr:nvSpPr>
        <xdr:cNvPr id="40" name="Line 4"/>
        <xdr:cNvSpPr>
          <a:spLocks noChangeShapeType="1"/>
        </xdr:cNvSpPr>
      </xdr:nvSpPr>
      <xdr:spPr bwMode="auto">
        <a:xfrm rot="10800000" flipV="1">
          <a:off x="4738689" y="7514267"/>
          <a:ext cx="0" cy="548640"/>
        </a:xfrm>
        <a:prstGeom prst="line">
          <a:avLst/>
        </a:prstGeom>
        <a:noFill/>
        <a:ln w="28575">
          <a:solidFill>
            <a:srgbClr val="0066FF"/>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47625</xdr:rowOff>
    </xdr:from>
    <xdr:to>
      <xdr:col>10</xdr:col>
      <xdr:colOff>285750</xdr:colOff>
      <xdr:row>29</xdr:row>
      <xdr:rowOff>66675</xdr:rowOff>
    </xdr:to>
    <xdr:pic>
      <xdr:nvPicPr>
        <xdr:cNvPr id="1025" name="Picture 1"/>
        <xdr:cNvPicPr>
          <a:picLocks noChangeAspect="1" noChangeArrowheads="1"/>
        </xdr:cNvPicPr>
      </xdr:nvPicPr>
      <xdr:blipFill>
        <a:blip xmlns:r="http://schemas.openxmlformats.org/officeDocument/2006/relationships" r:embed="rId1" cstate="print"/>
        <a:srcRect l="1479"/>
        <a:stretch>
          <a:fillRect/>
        </a:stretch>
      </xdr:blipFill>
      <xdr:spPr bwMode="auto">
        <a:xfrm>
          <a:off x="38100" y="209550"/>
          <a:ext cx="6343650" cy="4552950"/>
        </a:xfrm>
        <a:prstGeom prst="rect">
          <a:avLst/>
        </a:prstGeom>
        <a:noFill/>
        <a:ln w="1">
          <a:noFill/>
          <a:miter lim="800000"/>
          <a:headEnd/>
          <a:tailEnd/>
        </a:ln>
        <a:effectLst/>
      </xdr:spPr>
    </xdr:pic>
    <xdr:clientData/>
  </xdr:twoCellAnchor>
  <xdr:twoCellAnchor editAs="oneCell">
    <xdr:from>
      <xdr:col>0</xdr:col>
      <xdr:colOff>38100</xdr:colOff>
      <xdr:row>31</xdr:row>
      <xdr:rowOff>76200</xdr:rowOff>
    </xdr:from>
    <xdr:to>
      <xdr:col>10</xdr:col>
      <xdr:colOff>323850</xdr:colOff>
      <xdr:row>58</xdr:row>
      <xdr:rowOff>142875</xdr:rowOff>
    </xdr:to>
    <xdr:pic>
      <xdr:nvPicPr>
        <xdr:cNvPr id="1026" name="Picture 2"/>
        <xdr:cNvPicPr>
          <a:picLocks noChangeAspect="1" noChangeArrowheads="1"/>
        </xdr:cNvPicPr>
      </xdr:nvPicPr>
      <xdr:blipFill>
        <a:blip xmlns:r="http://schemas.openxmlformats.org/officeDocument/2006/relationships" r:embed="rId2" cstate="print"/>
        <a:srcRect l="2190"/>
        <a:stretch>
          <a:fillRect/>
        </a:stretch>
      </xdr:blipFill>
      <xdr:spPr bwMode="auto">
        <a:xfrm>
          <a:off x="38100" y="5095875"/>
          <a:ext cx="6381750" cy="4438650"/>
        </a:xfrm>
        <a:prstGeom prst="rect">
          <a:avLst/>
        </a:prstGeom>
        <a:noFill/>
        <a:ln w="1">
          <a:noFill/>
          <a:miter lim="800000"/>
          <a:headEnd/>
          <a:tailEnd/>
        </a:ln>
        <a:effectLst/>
      </xdr:spPr>
    </xdr:pic>
    <xdr:clientData/>
  </xdr:twoCellAnchor>
  <xdr:twoCellAnchor>
    <xdr:from>
      <xdr:col>1</xdr:col>
      <xdr:colOff>361949</xdr:colOff>
      <xdr:row>18</xdr:row>
      <xdr:rowOff>28575</xdr:rowOff>
    </xdr:from>
    <xdr:to>
      <xdr:col>4</xdr:col>
      <xdr:colOff>87629</xdr:colOff>
      <xdr:row>18</xdr:row>
      <xdr:rowOff>28575</xdr:rowOff>
    </xdr:to>
    <xdr:sp macro="" textlink="">
      <xdr:nvSpPr>
        <xdr:cNvPr id="1027" name="Line 3"/>
        <xdr:cNvSpPr>
          <a:spLocks noChangeShapeType="1"/>
        </xdr:cNvSpPr>
      </xdr:nvSpPr>
      <xdr:spPr bwMode="auto">
        <a:xfrm>
          <a:off x="971549" y="2943225"/>
          <a:ext cx="1554480" cy="0"/>
        </a:xfrm>
        <a:prstGeom prst="line">
          <a:avLst/>
        </a:prstGeom>
        <a:noFill/>
        <a:ln w="28575">
          <a:solidFill>
            <a:srgbClr val="339966"/>
          </a:solidFill>
          <a:round/>
          <a:headEnd/>
          <a:tailEnd/>
        </a:ln>
      </xdr:spPr>
    </xdr:sp>
    <xdr:clientData fLocksWithSheet="0"/>
  </xdr:twoCellAnchor>
  <xdr:twoCellAnchor>
    <xdr:from>
      <xdr:col>4</xdr:col>
      <xdr:colOff>381000</xdr:colOff>
      <xdr:row>18</xdr:row>
      <xdr:rowOff>38100</xdr:rowOff>
    </xdr:from>
    <xdr:to>
      <xdr:col>4</xdr:col>
      <xdr:colOff>381000</xdr:colOff>
      <xdr:row>21</xdr:row>
      <xdr:rowOff>9525</xdr:rowOff>
    </xdr:to>
    <xdr:sp macro="" textlink="">
      <xdr:nvSpPr>
        <xdr:cNvPr id="1028" name="Line 4"/>
        <xdr:cNvSpPr>
          <a:spLocks noChangeShapeType="1"/>
        </xdr:cNvSpPr>
      </xdr:nvSpPr>
      <xdr:spPr bwMode="auto">
        <a:xfrm rot="10800000" flipV="1">
          <a:off x="2819400" y="2952750"/>
          <a:ext cx="0" cy="457200"/>
        </a:xfrm>
        <a:prstGeom prst="line">
          <a:avLst/>
        </a:prstGeom>
        <a:noFill/>
        <a:ln w="28575">
          <a:solidFill>
            <a:srgbClr val="339966"/>
          </a:solidFill>
          <a:round/>
          <a:headEnd/>
          <a:tailEnd/>
        </a:ln>
      </xdr:spPr>
    </xdr:sp>
    <xdr:clientData fLocksWithSheet="0"/>
  </xdr:twoCellAnchor>
  <xdr:twoCellAnchor>
    <xdr:from>
      <xdr:col>1</xdr:col>
      <xdr:colOff>209550</xdr:colOff>
      <xdr:row>47</xdr:row>
      <xdr:rowOff>133349</xdr:rowOff>
    </xdr:from>
    <xdr:to>
      <xdr:col>6</xdr:col>
      <xdr:colOff>179070</xdr:colOff>
      <xdr:row>47</xdr:row>
      <xdr:rowOff>133349</xdr:rowOff>
    </xdr:to>
    <xdr:sp macro="" textlink="">
      <xdr:nvSpPr>
        <xdr:cNvPr id="1035" name="Line 11"/>
        <xdr:cNvSpPr>
          <a:spLocks noChangeShapeType="1"/>
        </xdr:cNvSpPr>
      </xdr:nvSpPr>
      <xdr:spPr bwMode="auto">
        <a:xfrm flipV="1">
          <a:off x="819150" y="7743824"/>
          <a:ext cx="3017520" cy="0"/>
        </a:xfrm>
        <a:prstGeom prst="line">
          <a:avLst/>
        </a:prstGeom>
        <a:noFill/>
        <a:ln w="28575">
          <a:solidFill>
            <a:srgbClr val="339966"/>
          </a:solidFill>
          <a:round/>
          <a:headEnd/>
          <a:tailEnd/>
        </a:ln>
      </xdr:spPr>
    </xdr:sp>
    <xdr:clientData fLocksWithSheet="0"/>
  </xdr:twoCellAnchor>
  <xdr:twoCellAnchor>
    <xdr:from>
      <xdr:col>3</xdr:col>
      <xdr:colOff>314325</xdr:colOff>
      <xdr:row>9</xdr:row>
      <xdr:rowOff>114300</xdr:rowOff>
    </xdr:from>
    <xdr:to>
      <xdr:col>7</xdr:col>
      <xdr:colOff>436245</xdr:colOff>
      <xdr:row>9</xdr:row>
      <xdr:rowOff>116306</xdr:rowOff>
    </xdr:to>
    <xdr:sp macro="" textlink="">
      <xdr:nvSpPr>
        <xdr:cNvPr id="1037" name="Line 13"/>
        <xdr:cNvSpPr>
          <a:spLocks noChangeShapeType="1"/>
        </xdr:cNvSpPr>
      </xdr:nvSpPr>
      <xdr:spPr bwMode="auto">
        <a:xfrm>
          <a:off x="2143125" y="1571625"/>
          <a:ext cx="2560320" cy="2006"/>
        </a:xfrm>
        <a:prstGeom prst="line">
          <a:avLst/>
        </a:prstGeom>
        <a:noFill/>
        <a:ln w="28575">
          <a:solidFill>
            <a:srgbClr val="339966"/>
          </a:solidFill>
          <a:round/>
          <a:headEnd/>
          <a:tailEnd/>
        </a:ln>
      </xdr:spPr>
    </xdr:sp>
    <xdr:clientData fLocksWithSheet="0"/>
  </xdr:twoCellAnchor>
  <xdr:twoCellAnchor>
    <xdr:from>
      <xdr:col>3</xdr:col>
      <xdr:colOff>295275</xdr:colOff>
      <xdr:row>39</xdr:row>
      <xdr:rowOff>76200</xdr:rowOff>
    </xdr:from>
    <xdr:to>
      <xdr:col>7</xdr:col>
      <xdr:colOff>417195</xdr:colOff>
      <xdr:row>39</xdr:row>
      <xdr:rowOff>76200</xdr:rowOff>
    </xdr:to>
    <xdr:sp macro="" textlink="">
      <xdr:nvSpPr>
        <xdr:cNvPr id="1040" name="Line 16"/>
        <xdr:cNvSpPr>
          <a:spLocks noChangeShapeType="1"/>
        </xdr:cNvSpPr>
      </xdr:nvSpPr>
      <xdr:spPr bwMode="auto">
        <a:xfrm>
          <a:off x="2124075" y="6391275"/>
          <a:ext cx="2560320" cy="0"/>
        </a:xfrm>
        <a:prstGeom prst="line">
          <a:avLst/>
        </a:prstGeom>
        <a:noFill/>
        <a:ln w="28575">
          <a:solidFill>
            <a:srgbClr val="339966"/>
          </a:solidFill>
          <a:round/>
          <a:headEnd/>
          <a:tailEnd/>
        </a:ln>
      </xdr:spPr>
    </xdr:sp>
    <xdr:clientData fLocksWithSheet="0"/>
  </xdr:twoCellAnchor>
  <xdr:twoCellAnchor>
    <xdr:from>
      <xdr:col>1</xdr:col>
      <xdr:colOff>214313</xdr:colOff>
      <xdr:row>46</xdr:row>
      <xdr:rowOff>14288</xdr:rowOff>
    </xdr:from>
    <xdr:to>
      <xdr:col>8</xdr:col>
      <xdr:colOff>153353</xdr:colOff>
      <xdr:row>46</xdr:row>
      <xdr:rowOff>14288</xdr:rowOff>
    </xdr:to>
    <xdr:sp macro="" textlink="">
      <xdr:nvSpPr>
        <xdr:cNvPr id="27" name="Line 10"/>
        <xdr:cNvSpPr>
          <a:spLocks noChangeShapeType="1"/>
        </xdr:cNvSpPr>
      </xdr:nvSpPr>
      <xdr:spPr bwMode="auto">
        <a:xfrm flipV="1">
          <a:off x="823913" y="7462838"/>
          <a:ext cx="4206240" cy="0"/>
        </a:xfrm>
        <a:prstGeom prst="line">
          <a:avLst/>
        </a:prstGeom>
        <a:noFill/>
        <a:ln w="28575">
          <a:solidFill>
            <a:srgbClr val="FF0000"/>
          </a:solidFill>
          <a:round/>
          <a:headEnd/>
          <a:tailEnd/>
        </a:ln>
      </xdr:spPr>
    </xdr:sp>
    <xdr:clientData fLocksWithSheet="0"/>
  </xdr:twoCellAnchor>
  <xdr:twoCellAnchor>
    <xdr:from>
      <xdr:col>1</xdr:col>
      <xdr:colOff>209548</xdr:colOff>
      <xdr:row>47</xdr:row>
      <xdr:rowOff>16327</xdr:rowOff>
    </xdr:from>
    <xdr:to>
      <xdr:col>7</xdr:col>
      <xdr:colOff>300988</xdr:colOff>
      <xdr:row>47</xdr:row>
      <xdr:rowOff>16327</xdr:rowOff>
    </xdr:to>
    <xdr:sp macro="" textlink="">
      <xdr:nvSpPr>
        <xdr:cNvPr id="29" name="Line 10"/>
        <xdr:cNvSpPr>
          <a:spLocks noChangeShapeType="1"/>
        </xdr:cNvSpPr>
      </xdr:nvSpPr>
      <xdr:spPr bwMode="auto">
        <a:xfrm flipV="1">
          <a:off x="819148" y="7626802"/>
          <a:ext cx="3749040" cy="0"/>
        </a:xfrm>
        <a:prstGeom prst="line">
          <a:avLst/>
        </a:prstGeom>
        <a:noFill/>
        <a:ln w="28575">
          <a:solidFill>
            <a:srgbClr val="0066FF"/>
          </a:solidFill>
          <a:round/>
          <a:headEnd/>
          <a:tailEnd/>
        </a:ln>
      </xdr:spPr>
    </xdr:sp>
    <xdr:clientData fLocksWithSheet="0"/>
  </xdr:twoCellAnchor>
  <xdr:twoCellAnchor>
    <xdr:from>
      <xdr:col>1</xdr:col>
      <xdr:colOff>352427</xdr:colOff>
      <xdr:row>7</xdr:row>
      <xdr:rowOff>4</xdr:rowOff>
    </xdr:from>
    <xdr:to>
      <xdr:col>9</xdr:col>
      <xdr:colOff>230507</xdr:colOff>
      <xdr:row>7</xdr:row>
      <xdr:rowOff>4</xdr:rowOff>
    </xdr:to>
    <xdr:sp macro="" textlink="">
      <xdr:nvSpPr>
        <xdr:cNvPr id="31" name="Line 10"/>
        <xdr:cNvSpPr>
          <a:spLocks noChangeShapeType="1"/>
        </xdr:cNvSpPr>
      </xdr:nvSpPr>
      <xdr:spPr bwMode="auto">
        <a:xfrm flipV="1">
          <a:off x="962027" y="1133479"/>
          <a:ext cx="4754880" cy="0"/>
        </a:xfrm>
        <a:prstGeom prst="line">
          <a:avLst/>
        </a:prstGeom>
        <a:noFill/>
        <a:ln w="28575">
          <a:solidFill>
            <a:srgbClr val="FF0000"/>
          </a:solidFill>
          <a:round/>
          <a:headEnd/>
          <a:tailEnd/>
        </a:ln>
      </xdr:spPr>
    </xdr:sp>
    <xdr:clientData fLocksWithSheet="0"/>
  </xdr:twoCellAnchor>
  <xdr:twoCellAnchor>
    <xdr:from>
      <xdr:col>1</xdr:col>
      <xdr:colOff>352427</xdr:colOff>
      <xdr:row>7</xdr:row>
      <xdr:rowOff>66675</xdr:rowOff>
    </xdr:from>
    <xdr:to>
      <xdr:col>9</xdr:col>
      <xdr:colOff>230507</xdr:colOff>
      <xdr:row>7</xdr:row>
      <xdr:rowOff>66675</xdr:rowOff>
    </xdr:to>
    <xdr:sp macro="" textlink="">
      <xdr:nvSpPr>
        <xdr:cNvPr id="33" name="Line 10"/>
        <xdr:cNvSpPr>
          <a:spLocks noChangeShapeType="1"/>
        </xdr:cNvSpPr>
      </xdr:nvSpPr>
      <xdr:spPr bwMode="auto">
        <a:xfrm flipV="1">
          <a:off x="962027" y="1200150"/>
          <a:ext cx="4754880" cy="0"/>
        </a:xfrm>
        <a:prstGeom prst="line">
          <a:avLst/>
        </a:prstGeom>
        <a:noFill/>
        <a:ln w="28575">
          <a:solidFill>
            <a:srgbClr val="FF0000"/>
          </a:solidFill>
          <a:round/>
          <a:headEnd/>
          <a:tailEnd/>
        </a:ln>
      </xdr:spPr>
    </xdr:sp>
    <xdr:clientData fLocksWithSheet="0"/>
  </xdr:twoCellAnchor>
  <xdr:twoCellAnchor>
    <xdr:from>
      <xdr:col>1</xdr:col>
      <xdr:colOff>352427</xdr:colOff>
      <xdr:row>7</xdr:row>
      <xdr:rowOff>152400</xdr:rowOff>
    </xdr:from>
    <xdr:to>
      <xdr:col>9</xdr:col>
      <xdr:colOff>230507</xdr:colOff>
      <xdr:row>7</xdr:row>
      <xdr:rowOff>152400</xdr:rowOff>
    </xdr:to>
    <xdr:sp macro="" textlink="">
      <xdr:nvSpPr>
        <xdr:cNvPr id="34" name="Line 10"/>
        <xdr:cNvSpPr>
          <a:spLocks noChangeShapeType="1"/>
        </xdr:cNvSpPr>
      </xdr:nvSpPr>
      <xdr:spPr bwMode="auto">
        <a:xfrm flipV="1">
          <a:off x="962027" y="1285875"/>
          <a:ext cx="4754880" cy="0"/>
        </a:xfrm>
        <a:prstGeom prst="line">
          <a:avLst/>
        </a:prstGeom>
        <a:noFill/>
        <a:ln w="28575">
          <a:solidFill>
            <a:srgbClr val="FF0000"/>
          </a:solidFill>
          <a:round/>
          <a:headEnd/>
          <a:tailEnd/>
        </a:ln>
      </xdr:spPr>
    </xdr:sp>
    <xdr:clientData fLocksWithSheet="0"/>
  </xdr:twoCellAnchor>
  <xdr:twoCellAnchor>
    <xdr:from>
      <xdr:col>1</xdr:col>
      <xdr:colOff>352427</xdr:colOff>
      <xdr:row>8</xdr:row>
      <xdr:rowOff>95250</xdr:rowOff>
    </xdr:from>
    <xdr:to>
      <xdr:col>9</xdr:col>
      <xdr:colOff>230507</xdr:colOff>
      <xdr:row>8</xdr:row>
      <xdr:rowOff>95250</xdr:rowOff>
    </xdr:to>
    <xdr:sp macro="" textlink="">
      <xdr:nvSpPr>
        <xdr:cNvPr id="35" name="Line 10"/>
        <xdr:cNvSpPr>
          <a:spLocks noChangeShapeType="1"/>
        </xdr:cNvSpPr>
      </xdr:nvSpPr>
      <xdr:spPr bwMode="auto">
        <a:xfrm flipV="1">
          <a:off x="962027" y="1390650"/>
          <a:ext cx="4754880" cy="0"/>
        </a:xfrm>
        <a:prstGeom prst="line">
          <a:avLst/>
        </a:prstGeom>
        <a:noFill/>
        <a:ln w="28575">
          <a:solidFill>
            <a:srgbClr val="FF0000"/>
          </a:solidFill>
          <a:round/>
          <a:headEnd/>
          <a:tailEnd/>
        </a:ln>
      </xdr:spPr>
    </xdr:sp>
    <xdr:clientData fLocksWithSheet="0"/>
  </xdr:twoCellAnchor>
  <xdr:twoCellAnchor>
    <xdr:from>
      <xdr:col>1</xdr:col>
      <xdr:colOff>361949</xdr:colOff>
      <xdr:row>18</xdr:row>
      <xdr:rowOff>104775</xdr:rowOff>
    </xdr:from>
    <xdr:to>
      <xdr:col>4</xdr:col>
      <xdr:colOff>87629</xdr:colOff>
      <xdr:row>18</xdr:row>
      <xdr:rowOff>104775</xdr:rowOff>
    </xdr:to>
    <xdr:sp macro="" textlink="">
      <xdr:nvSpPr>
        <xdr:cNvPr id="36" name="Line 3"/>
        <xdr:cNvSpPr>
          <a:spLocks noChangeShapeType="1"/>
        </xdr:cNvSpPr>
      </xdr:nvSpPr>
      <xdr:spPr bwMode="auto">
        <a:xfrm>
          <a:off x="971549" y="3019425"/>
          <a:ext cx="1554480" cy="0"/>
        </a:xfrm>
        <a:prstGeom prst="line">
          <a:avLst/>
        </a:prstGeom>
        <a:noFill/>
        <a:ln w="28575">
          <a:solidFill>
            <a:srgbClr val="339966"/>
          </a:solidFill>
          <a:round/>
          <a:headEnd/>
          <a:tailEnd/>
        </a:ln>
      </xdr:spPr>
    </xdr:sp>
    <xdr:clientData fLocksWithSheet="0"/>
  </xdr:twoCellAnchor>
  <xdr:twoCellAnchor>
    <xdr:from>
      <xdr:col>1</xdr:col>
      <xdr:colOff>352424</xdr:colOff>
      <xdr:row>19</xdr:row>
      <xdr:rowOff>9525</xdr:rowOff>
    </xdr:from>
    <xdr:to>
      <xdr:col>4</xdr:col>
      <xdr:colOff>78104</xdr:colOff>
      <xdr:row>19</xdr:row>
      <xdr:rowOff>9525</xdr:rowOff>
    </xdr:to>
    <xdr:sp macro="" textlink="">
      <xdr:nvSpPr>
        <xdr:cNvPr id="37" name="Line 3"/>
        <xdr:cNvSpPr>
          <a:spLocks noChangeShapeType="1"/>
        </xdr:cNvSpPr>
      </xdr:nvSpPr>
      <xdr:spPr bwMode="auto">
        <a:xfrm>
          <a:off x="962024" y="3086100"/>
          <a:ext cx="1554480" cy="0"/>
        </a:xfrm>
        <a:prstGeom prst="line">
          <a:avLst/>
        </a:prstGeom>
        <a:noFill/>
        <a:ln w="28575">
          <a:solidFill>
            <a:srgbClr val="339966"/>
          </a:solidFill>
          <a:round/>
          <a:headEnd/>
          <a:tailEnd/>
        </a:ln>
      </xdr:spPr>
    </xdr:sp>
    <xdr:clientData fLocksWithSheet="0"/>
  </xdr:twoCellAnchor>
  <xdr:twoCellAnchor>
    <xdr:from>
      <xdr:col>1</xdr:col>
      <xdr:colOff>352424</xdr:colOff>
      <xdr:row>19</xdr:row>
      <xdr:rowOff>85725</xdr:rowOff>
    </xdr:from>
    <xdr:to>
      <xdr:col>4</xdr:col>
      <xdr:colOff>78104</xdr:colOff>
      <xdr:row>19</xdr:row>
      <xdr:rowOff>85725</xdr:rowOff>
    </xdr:to>
    <xdr:sp macro="" textlink="">
      <xdr:nvSpPr>
        <xdr:cNvPr id="38" name="Line 3"/>
        <xdr:cNvSpPr>
          <a:spLocks noChangeShapeType="1"/>
        </xdr:cNvSpPr>
      </xdr:nvSpPr>
      <xdr:spPr bwMode="auto">
        <a:xfrm>
          <a:off x="962024" y="3162300"/>
          <a:ext cx="1554480" cy="0"/>
        </a:xfrm>
        <a:prstGeom prst="line">
          <a:avLst/>
        </a:prstGeom>
        <a:noFill/>
        <a:ln w="28575">
          <a:solidFill>
            <a:srgbClr val="339966"/>
          </a:solidFill>
          <a:round/>
          <a:headEnd/>
          <a:tailEnd/>
        </a:ln>
      </xdr:spPr>
    </xdr:sp>
    <xdr:clientData fLocksWithSheet="0"/>
  </xdr:twoCellAnchor>
  <xdr:twoCellAnchor>
    <xdr:from>
      <xdr:col>1</xdr:col>
      <xdr:colOff>352425</xdr:colOff>
      <xdr:row>16</xdr:row>
      <xdr:rowOff>47624</xdr:rowOff>
    </xdr:from>
    <xdr:to>
      <xdr:col>5</xdr:col>
      <xdr:colOff>382905</xdr:colOff>
      <xdr:row>16</xdr:row>
      <xdr:rowOff>47624</xdr:rowOff>
    </xdr:to>
    <xdr:sp macro="" textlink="">
      <xdr:nvSpPr>
        <xdr:cNvPr id="39" name="Line 3"/>
        <xdr:cNvSpPr>
          <a:spLocks noChangeShapeType="1"/>
        </xdr:cNvSpPr>
      </xdr:nvSpPr>
      <xdr:spPr bwMode="auto">
        <a:xfrm>
          <a:off x="962025" y="2638424"/>
          <a:ext cx="2468880" cy="0"/>
        </a:xfrm>
        <a:prstGeom prst="line">
          <a:avLst/>
        </a:prstGeom>
        <a:noFill/>
        <a:ln w="28575">
          <a:solidFill>
            <a:srgbClr val="0066FF"/>
          </a:solidFill>
          <a:round/>
          <a:headEnd/>
          <a:tailEnd/>
        </a:ln>
      </xdr:spPr>
    </xdr:sp>
    <xdr:clientData fLocksWithSheet="0"/>
  </xdr:twoCellAnchor>
  <xdr:twoCellAnchor>
    <xdr:from>
      <xdr:col>1</xdr:col>
      <xdr:colOff>352425</xdr:colOff>
      <xdr:row>16</xdr:row>
      <xdr:rowOff>123824</xdr:rowOff>
    </xdr:from>
    <xdr:to>
      <xdr:col>5</xdr:col>
      <xdr:colOff>382905</xdr:colOff>
      <xdr:row>16</xdr:row>
      <xdr:rowOff>123824</xdr:rowOff>
    </xdr:to>
    <xdr:sp macro="" textlink="">
      <xdr:nvSpPr>
        <xdr:cNvPr id="42" name="Line 3"/>
        <xdr:cNvSpPr>
          <a:spLocks noChangeShapeType="1"/>
        </xdr:cNvSpPr>
      </xdr:nvSpPr>
      <xdr:spPr bwMode="auto">
        <a:xfrm>
          <a:off x="962025" y="2714624"/>
          <a:ext cx="2468880" cy="0"/>
        </a:xfrm>
        <a:prstGeom prst="line">
          <a:avLst/>
        </a:prstGeom>
        <a:noFill/>
        <a:ln w="28575">
          <a:solidFill>
            <a:srgbClr val="0066FF"/>
          </a:solidFill>
          <a:round/>
          <a:headEnd/>
          <a:tailEnd/>
        </a:ln>
      </xdr:spPr>
    </xdr:sp>
    <xdr:clientData fLocksWithSheet="0"/>
  </xdr:twoCellAnchor>
  <xdr:twoCellAnchor>
    <xdr:from>
      <xdr:col>1</xdr:col>
      <xdr:colOff>352425</xdr:colOff>
      <xdr:row>17</xdr:row>
      <xdr:rowOff>47624</xdr:rowOff>
    </xdr:from>
    <xdr:to>
      <xdr:col>5</xdr:col>
      <xdr:colOff>382905</xdr:colOff>
      <xdr:row>17</xdr:row>
      <xdr:rowOff>47624</xdr:rowOff>
    </xdr:to>
    <xdr:sp macro="" textlink="">
      <xdr:nvSpPr>
        <xdr:cNvPr id="43" name="Line 3"/>
        <xdr:cNvSpPr>
          <a:spLocks noChangeShapeType="1"/>
        </xdr:cNvSpPr>
      </xdr:nvSpPr>
      <xdr:spPr bwMode="auto">
        <a:xfrm>
          <a:off x="962025" y="2800349"/>
          <a:ext cx="2468880" cy="0"/>
        </a:xfrm>
        <a:prstGeom prst="line">
          <a:avLst/>
        </a:prstGeom>
        <a:noFill/>
        <a:ln w="28575">
          <a:solidFill>
            <a:srgbClr val="0066FF"/>
          </a:solidFill>
          <a:round/>
          <a:headEnd/>
          <a:tailEnd/>
        </a:ln>
      </xdr:spPr>
    </xdr:sp>
    <xdr:clientData fLocksWithSheet="0"/>
  </xdr:twoCellAnchor>
  <xdr:twoCellAnchor>
    <xdr:from>
      <xdr:col>1</xdr:col>
      <xdr:colOff>352424</xdr:colOff>
      <xdr:row>17</xdr:row>
      <xdr:rowOff>123824</xdr:rowOff>
    </xdr:from>
    <xdr:to>
      <xdr:col>5</xdr:col>
      <xdr:colOff>382904</xdr:colOff>
      <xdr:row>17</xdr:row>
      <xdr:rowOff>123824</xdr:rowOff>
    </xdr:to>
    <xdr:sp macro="" textlink="">
      <xdr:nvSpPr>
        <xdr:cNvPr id="44" name="Line 3"/>
        <xdr:cNvSpPr>
          <a:spLocks noChangeShapeType="1"/>
        </xdr:cNvSpPr>
      </xdr:nvSpPr>
      <xdr:spPr bwMode="auto">
        <a:xfrm>
          <a:off x="962024" y="2876549"/>
          <a:ext cx="2468880" cy="0"/>
        </a:xfrm>
        <a:prstGeom prst="line">
          <a:avLst/>
        </a:prstGeom>
        <a:noFill/>
        <a:ln w="28575">
          <a:solidFill>
            <a:srgbClr val="0066FF"/>
          </a:solidFill>
          <a:round/>
          <a:headEnd/>
          <a:tailEnd/>
        </a:ln>
      </xdr:spPr>
    </xdr:sp>
    <xdr:clientData fLocksWithSheet="0"/>
  </xdr:twoCellAnchor>
  <xdr:twoCellAnchor>
    <xdr:from>
      <xdr:col>5</xdr:col>
      <xdr:colOff>581025</xdr:colOff>
      <xdr:row>15</xdr:row>
      <xdr:rowOff>158113</xdr:rowOff>
    </xdr:from>
    <xdr:to>
      <xdr:col>5</xdr:col>
      <xdr:colOff>581025</xdr:colOff>
      <xdr:row>21</xdr:row>
      <xdr:rowOff>9523</xdr:rowOff>
    </xdr:to>
    <xdr:sp macro="" textlink="">
      <xdr:nvSpPr>
        <xdr:cNvPr id="47" name="Line 4"/>
        <xdr:cNvSpPr>
          <a:spLocks noChangeShapeType="1"/>
        </xdr:cNvSpPr>
      </xdr:nvSpPr>
      <xdr:spPr bwMode="auto">
        <a:xfrm rot="10800000" flipV="1">
          <a:off x="3629025" y="2586988"/>
          <a:ext cx="0" cy="822960"/>
        </a:xfrm>
        <a:prstGeom prst="line">
          <a:avLst/>
        </a:prstGeom>
        <a:noFill/>
        <a:ln w="28575">
          <a:solidFill>
            <a:srgbClr val="0066FF"/>
          </a:solidFill>
          <a:round/>
          <a:headEnd/>
          <a:tailEnd/>
        </a:ln>
      </xdr:spPr>
    </xdr:sp>
    <xdr:clientData fLocksWithSheet="0"/>
  </xdr:twoCellAnchor>
  <xdr:twoCellAnchor>
    <xdr:from>
      <xdr:col>8</xdr:col>
      <xdr:colOff>552450</xdr:colOff>
      <xdr:row>12</xdr:row>
      <xdr:rowOff>11430</xdr:rowOff>
    </xdr:from>
    <xdr:to>
      <xdr:col>8</xdr:col>
      <xdr:colOff>552450</xdr:colOff>
      <xdr:row>21</xdr:row>
      <xdr:rowOff>17145</xdr:rowOff>
    </xdr:to>
    <xdr:sp macro="" textlink="">
      <xdr:nvSpPr>
        <xdr:cNvPr id="49" name="Line 6"/>
        <xdr:cNvSpPr>
          <a:spLocks noChangeShapeType="1"/>
        </xdr:cNvSpPr>
      </xdr:nvSpPr>
      <xdr:spPr bwMode="auto">
        <a:xfrm rot="10800000" flipH="1">
          <a:off x="5429250" y="1954530"/>
          <a:ext cx="0" cy="1463040"/>
        </a:xfrm>
        <a:prstGeom prst="line">
          <a:avLst/>
        </a:prstGeom>
        <a:noFill/>
        <a:ln w="28575">
          <a:solidFill>
            <a:srgbClr val="FF0000"/>
          </a:solidFill>
          <a:round/>
          <a:headEnd/>
          <a:tailEnd/>
        </a:ln>
      </xdr:spPr>
    </xdr:sp>
    <xdr:clientData fLocksWithSheet="0"/>
  </xdr:twoCellAnchor>
  <xdr:twoCellAnchor>
    <xdr:from>
      <xdr:col>4</xdr:col>
      <xdr:colOff>457200</xdr:colOff>
      <xdr:row>41</xdr:row>
      <xdr:rowOff>57150</xdr:rowOff>
    </xdr:from>
    <xdr:to>
      <xdr:col>7</xdr:col>
      <xdr:colOff>457200</xdr:colOff>
      <xdr:row>41</xdr:row>
      <xdr:rowOff>57150</xdr:rowOff>
    </xdr:to>
    <xdr:sp macro="" textlink="">
      <xdr:nvSpPr>
        <xdr:cNvPr id="41" name="Line 16"/>
        <xdr:cNvSpPr>
          <a:spLocks noChangeShapeType="1"/>
        </xdr:cNvSpPr>
      </xdr:nvSpPr>
      <xdr:spPr bwMode="auto">
        <a:xfrm>
          <a:off x="2895600" y="6696075"/>
          <a:ext cx="1828800" cy="0"/>
        </a:xfrm>
        <a:prstGeom prst="line">
          <a:avLst/>
        </a:prstGeom>
        <a:noFill/>
        <a:ln w="28575">
          <a:solidFill>
            <a:srgbClr val="339966"/>
          </a:solidFill>
          <a:round/>
          <a:headEnd/>
          <a:tailEnd/>
        </a:ln>
      </xdr:spPr>
    </xdr:sp>
    <xdr:clientData fLocksWithSheet="0"/>
  </xdr:twoCellAnchor>
  <xdr:twoCellAnchor>
    <xdr:from>
      <xdr:col>6</xdr:col>
      <xdr:colOff>180975</xdr:colOff>
      <xdr:row>43</xdr:row>
      <xdr:rowOff>57150</xdr:rowOff>
    </xdr:from>
    <xdr:to>
      <xdr:col>8</xdr:col>
      <xdr:colOff>57150</xdr:colOff>
      <xdr:row>43</xdr:row>
      <xdr:rowOff>57150</xdr:rowOff>
    </xdr:to>
    <xdr:sp macro="" textlink="">
      <xdr:nvSpPr>
        <xdr:cNvPr id="51" name="Line 16"/>
        <xdr:cNvSpPr>
          <a:spLocks noChangeShapeType="1"/>
        </xdr:cNvSpPr>
      </xdr:nvSpPr>
      <xdr:spPr bwMode="auto">
        <a:xfrm>
          <a:off x="3838575" y="7019925"/>
          <a:ext cx="1095375" cy="0"/>
        </a:xfrm>
        <a:prstGeom prst="line">
          <a:avLst/>
        </a:prstGeom>
        <a:noFill/>
        <a:ln w="28575">
          <a:solidFill>
            <a:srgbClr val="339966"/>
          </a:solidFill>
          <a:round/>
          <a:headEnd/>
          <a:tailEnd/>
        </a:ln>
      </xdr:spPr>
    </xdr:sp>
    <xdr:clientData fLocksWithSheet="0"/>
  </xdr:twoCellAnchor>
  <xdr:twoCellAnchor>
    <xdr:from>
      <xdr:col>4</xdr:col>
      <xdr:colOff>409575</xdr:colOff>
      <xdr:row>11</xdr:row>
      <xdr:rowOff>152400</xdr:rowOff>
    </xdr:from>
    <xdr:to>
      <xdr:col>7</xdr:col>
      <xdr:colOff>409575</xdr:colOff>
      <xdr:row>11</xdr:row>
      <xdr:rowOff>152400</xdr:rowOff>
    </xdr:to>
    <xdr:sp macro="" textlink="">
      <xdr:nvSpPr>
        <xdr:cNvPr id="52" name="Line 13"/>
        <xdr:cNvSpPr>
          <a:spLocks noChangeShapeType="1"/>
        </xdr:cNvSpPr>
      </xdr:nvSpPr>
      <xdr:spPr bwMode="auto">
        <a:xfrm>
          <a:off x="2847975" y="1933575"/>
          <a:ext cx="1828800" cy="0"/>
        </a:xfrm>
        <a:prstGeom prst="line">
          <a:avLst/>
        </a:prstGeom>
        <a:noFill/>
        <a:ln w="28575">
          <a:solidFill>
            <a:srgbClr val="339966"/>
          </a:solidFill>
          <a:round/>
          <a:headEnd/>
          <a:tailEnd/>
        </a:ln>
      </xdr:spPr>
    </xdr:sp>
    <xdr:clientData fLocksWithSheet="0"/>
  </xdr:twoCellAnchor>
  <xdr:twoCellAnchor>
    <xdr:from>
      <xdr:col>6</xdr:col>
      <xdr:colOff>66674</xdr:colOff>
      <xdr:row>13</xdr:row>
      <xdr:rowOff>142874</xdr:rowOff>
    </xdr:from>
    <xdr:to>
      <xdr:col>7</xdr:col>
      <xdr:colOff>554354</xdr:colOff>
      <xdr:row>13</xdr:row>
      <xdr:rowOff>142874</xdr:rowOff>
    </xdr:to>
    <xdr:sp macro="" textlink="">
      <xdr:nvSpPr>
        <xdr:cNvPr id="53" name="Line 13"/>
        <xdr:cNvSpPr>
          <a:spLocks noChangeShapeType="1"/>
        </xdr:cNvSpPr>
      </xdr:nvSpPr>
      <xdr:spPr bwMode="auto">
        <a:xfrm flipV="1">
          <a:off x="3724274" y="2247899"/>
          <a:ext cx="1097280" cy="0"/>
        </a:xfrm>
        <a:prstGeom prst="line">
          <a:avLst/>
        </a:prstGeom>
        <a:noFill/>
        <a:ln w="28575">
          <a:solidFill>
            <a:srgbClr val="339966"/>
          </a:solidFill>
          <a:round/>
          <a:headEnd/>
          <a:tailEnd/>
        </a:ln>
      </xdr:spPr>
    </xdr:sp>
    <xdr:clientData fLocksWithSheet="0"/>
  </xdr:twoCellAnchor>
  <xdr:twoCellAnchor>
    <xdr:from>
      <xdr:col>9</xdr:col>
      <xdr:colOff>47625</xdr:colOff>
      <xdr:row>12</xdr:row>
      <xdr:rowOff>11430</xdr:rowOff>
    </xdr:from>
    <xdr:to>
      <xdr:col>9</xdr:col>
      <xdr:colOff>47625</xdr:colOff>
      <xdr:row>21</xdr:row>
      <xdr:rowOff>17145</xdr:rowOff>
    </xdr:to>
    <xdr:sp macro="" textlink="">
      <xdr:nvSpPr>
        <xdr:cNvPr id="54" name="Line 6"/>
        <xdr:cNvSpPr>
          <a:spLocks noChangeShapeType="1"/>
        </xdr:cNvSpPr>
      </xdr:nvSpPr>
      <xdr:spPr bwMode="auto">
        <a:xfrm rot="10800000" flipH="1">
          <a:off x="5534025" y="1954530"/>
          <a:ext cx="0" cy="1463040"/>
        </a:xfrm>
        <a:prstGeom prst="line">
          <a:avLst/>
        </a:prstGeom>
        <a:noFill/>
        <a:ln w="28575">
          <a:solidFill>
            <a:srgbClr val="FF0000"/>
          </a:solidFill>
          <a:round/>
          <a:headEnd/>
          <a:tailEnd/>
        </a:ln>
      </xdr:spPr>
    </xdr:sp>
    <xdr:clientData fLocksWithSheet="0"/>
  </xdr:twoCellAnchor>
  <xdr:twoCellAnchor>
    <xdr:from>
      <xdr:col>9</xdr:col>
      <xdr:colOff>142875</xdr:colOff>
      <xdr:row>12</xdr:row>
      <xdr:rowOff>11430</xdr:rowOff>
    </xdr:from>
    <xdr:to>
      <xdr:col>9</xdr:col>
      <xdr:colOff>142875</xdr:colOff>
      <xdr:row>21</xdr:row>
      <xdr:rowOff>17145</xdr:rowOff>
    </xdr:to>
    <xdr:sp macro="" textlink="">
      <xdr:nvSpPr>
        <xdr:cNvPr id="55" name="Line 6"/>
        <xdr:cNvSpPr>
          <a:spLocks noChangeShapeType="1"/>
        </xdr:cNvSpPr>
      </xdr:nvSpPr>
      <xdr:spPr bwMode="auto">
        <a:xfrm rot="10800000" flipH="1">
          <a:off x="5629275" y="1954530"/>
          <a:ext cx="0" cy="1463040"/>
        </a:xfrm>
        <a:prstGeom prst="line">
          <a:avLst/>
        </a:prstGeom>
        <a:noFill/>
        <a:ln w="28575">
          <a:solidFill>
            <a:srgbClr val="FF0000"/>
          </a:solidFill>
          <a:round/>
          <a:headEnd/>
          <a:tailEnd/>
        </a:ln>
      </xdr:spPr>
    </xdr:sp>
    <xdr:clientData fLocksWithSheet="0"/>
  </xdr:twoCellAnchor>
  <xdr:twoCellAnchor>
    <xdr:from>
      <xdr:col>9</xdr:col>
      <xdr:colOff>219075</xdr:colOff>
      <xdr:row>12</xdr:row>
      <xdr:rowOff>11430</xdr:rowOff>
    </xdr:from>
    <xdr:to>
      <xdr:col>9</xdr:col>
      <xdr:colOff>219075</xdr:colOff>
      <xdr:row>21</xdr:row>
      <xdr:rowOff>17145</xdr:rowOff>
    </xdr:to>
    <xdr:sp macro="" textlink="">
      <xdr:nvSpPr>
        <xdr:cNvPr id="56" name="Line 6"/>
        <xdr:cNvSpPr>
          <a:spLocks noChangeShapeType="1"/>
        </xdr:cNvSpPr>
      </xdr:nvSpPr>
      <xdr:spPr bwMode="auto">
        <a:xfrm rot="10800000" flipH="1">
          <a:off x="5705475" y="1954530"/>
          <a:ext cx="0" cy="1463040"/>
        </a:xfrm>
        <a:prstGeom prst="line">
          <a:avLst/>
        </a:prstGeom>
        <a:noFill/>
        <a:ln w="28575">
          <a:solidFill>
            <a:srgbClr val="FF0000"/>
          </a:solidFill>
          <a:round/>
          <a:headEnd/>
          <a:tailEnd/>
        </a:ln>
      </xdr:spPr>
    </xdr:sp>
    <xdr:clientData fLocksWithSheet="0"/>
  </xdr:twoCellAnchor>
  <xdr:twoCellAnchor>
    <xdr:from>
      <xdr:col>5</xdr:col>
      <xdr:colOff>504825</xdr:colOff>
      <xdr:row>15</xdr:row>
      <xdr:rowOff>158113</xdr:rowOff>
    </xdr:from>
    <xdr:to>
      <xdr:col>5</xdr:col>
      <xdr:colOff>504825</xdr:colOff>
      <xdr:row>21</xdr:row>
      <xdr:rowOff>9523</xdr:rowOff>
    </xdr:to>
    <xdr:sp macro="" textlink="">
      <xdr:nvSpPr>
        <xdr:cNvPr id="57" name="Line 4"/>
        <xdr:cNvSpPr>
          <a:spLocks noChangeShapeType="1"/>
        </xdr:cNvSpPr>
      </xdr:nvSpPr>
      <xdr:spPr bwMode="auto">
        <a:xfrm rot="10800000" flipV="1">
          <a:off x="3552825" y="2586988"/>
          <a:ext cx="0" cy="822960"/>
        </a:xfrm>
        <a:prstGeom prst="line">
          <a:avLst/>
        </a:prstGeom>
        <a:noFill/>
        <a:ln w="28575">
          <a:solidFill>
            <a:srgbClr val="0066FF"/>
          </a:solidFill>
          <a:round/>
          <a:headEnd/>
          <a:tailEnd/>
        </a:ln>
      </xdr:spPr>
    </xdr:sp>
    <xdr:clientData fLocksWithSheet="0"/>
  </xdr:twoCellAnchor>
  <xdr:twoCellAnchor>
    <xdr:from>
      <xdr:col>5</xdr:col>
      <xdr:colOff>438150</xdr:colOff>
      <xdr:row>15</xdr:row>
      <xdr:rowOff>158113</xdr:rowOff>
    </xdr:from>
    <xdr:to>
      <xdr:col>5</xdr:col>
      <xdr:colOff>438150</xdr:colOff>
      <xdr:row>21</xdr:row>
      <xdr:rowOff>9523</xdr:rowOff>
    </xdr:to>
    <xdr:sp macro="" textlink="">
      <xdr:nvSpPr>
        <xdr:cNvPr id="58" name="Line 4"/>
        <xdr:cNvSpPr>
          <a:spLocks noChangeShapeType="1"/>
        </xdr:cNvSpPr>
      </xdr:nvSpPr>
      <xdr:spPr bwMode="auto">
        <a:xfrm rot="10800000" flipV="1">
          <a:off x="3486150" y="2586988"/>
          <a:ext cx="0" cy="822960"/>
        </a:xfrm>
        <a:prstGeom prst="line">
          <a:avLst/>
        </a:prstGeom>
        <a:noFill/>
        <a:ln w="28575">
          <a:solidFill>
            <a:srgbClr val="0066FF"/>
          </a:solidFill>
          <a:round/>
          <a:headEnd/>
          <a:tailEnd/>
        </a:ln>
      </xdr:spPr>
    </xdr:sp>
    <xdr:clientData fLocksWithSheet="0"/>
  </xdr:twoCellAnchor>
  <xdr:twoCellAnchor>
    <xdr:from>
      <xdr:col>6</xdr:col>
      <xdr:colOff>38100</xdr:colOff>
      <xdr:row>15</xdr:row>
      <xdr:rowOff>158113</xdr:rowOff>
    </xdr:from>
    <xdr:to>
      <xdr:col>6</xdr:col>
      <xdr:colOff>38100</xdr:colOff>
      <xdr:row>21</xdr:row>
      <xdr:rowOff>9523</xdr:rowOff>
    </xdr:to>
    <xdr:sp macro="" textlink="">
      <xdr:nvSpPr>
        <xdr:cNvPr id="59" name="Line 4"/>
        <xdr:cNvSpPr>
          <a:spLocks noChangeShapeType="1"/>
        </xdr:cNvSpPr>
      </xdr:nvSpPr>
      <xdr:spPr bwMode="auto">
        <a:xfrm rot="10800000" flipV="1">
          <a:off x="3695700" y="2586988"/>
          <a:ext cx="0" cy="822960"/>
        </a:xfrm>
        <a:prstGeom prst="line">
          <a:avLst/>
        </a:prstGeom>
        <a:noFill/>
        <a:ln w="28575">
          <a:solidFill>
            <a:srgbClr val="0066FF"/>
          </a:solidFill>
          <a:round/>
          <a:headEnd/>
          <a:tailEnd/>
        </a:ln>
      </xdr:spPr>
    </xdr:sp>
    <xdr:clientData fLocksWithSheet="0"/>
  </xdr:twoCellAnchor>
  <xdr:twoCellAnchor>
    <xdr:from>
      <xdr:col>4</xdr:col>
      <xdr:colOff>142875</xdr:colOff>
      <xdr:row>18</xdr:row>
      <xdr:rowOff>38100</xdr:rowOff>
    </xdr:from>
    <xdr:to>
      <xdr:col>4</xdr:col>
      <xdr:colOff>142875</xdr:colOff>
      <xdr:row>21</xdr:row>
      <xdr:rowOff>9525</xdr:rowOff>
    </xdr:to>
    <xdr:sp macro="" textlink="">
      <xdr:nvSpPr>
        <xdr:cNvPr id="60" name="Line 4"/>
        <xdr:cNvSpPr>
          <a:spLocks noChangeShapeType="1"/>
        </xdr:cNvSpPr>
      </xdr:nvSpPr>
      <xdr:spPr bwMode="auto">
        <a:xfrm rot="10800000" flipV="1">
          <a:off x="2581275" y="2952750"/>
          <a:ext cx="0" cy="457200"/>
        </a:xfrm>
        <a:prstGeom prst="line">
          <a:avLst/>
        </a:prstGeom>
        <a:noFill/>
        <a:ln w="28575">
          <a:solidFill>
            <a:srgbClr val="339966"/>
          </a:solidFill>
          <a:round/>
          <a:headEnd/>
          <a:tailEnd/>
        </a:ln>
      </xdr:spPr>
    </xdr:sp>
    <xdr:clientData fLocksWithSheet="0"/>
  </xdr:twoCellAnchor>
  <xdr:twoCellAnchor>
    <xdr:from>
      <xdr:col>4</xdr:col>
      <xdr:colOff>209550</xdr:colOff>
      <xdr:row>18</xdr:row>
      <xdr:rowOff>38100</xdr:rowOff>
    </xdr:from>
    <xdr:to>
      <xdr:col>4</xdr:col>
      <xdr:colOff>209550</xdr:colOff>
      <xdr:row>21</xdr:row>
      <xdr:rowOff>9525</xdr:rowOff>
    </xdr:to>
    <xdr:sp macro="" textlink="">
      <xdr:nvSpPr>
        <xdr:cNvPr id="61" name="Line 4"/>
        <xdr:cNvSpPr>
          <a:spLocks noChangeShapeType="1"/>
        </xdr:cNvSpPr>
      </xdr:nvSpPr>
      <xdr:spPr bwMode="auto">
        <a:xfrm rot="10800000" flipV="1">
          <a:off x="2647950" y="2952750"/>
          <a:ext cx="0" cy="457200"/>
        </a:xfrm>
        <a:prstGeom prst="line">
          <a:avLst/>
        </a:prstGeom>
        <a:noFill/>
        <a:ln w="28575">
          <a:solidFill>
            <a:srgbClr val="339966"/>
          </a:solidFill>
          <a:round/>
          <a:headEnd/>
          <a:tailEnd/>
        </a:ln>
      </xdr:spPr>
    </xdr:sp>
    <xdr:clientData fLocksWithSheet="0"/>
  </xdr:twoCellAnchor>
  <xdr:twoCellAnchor>
    <xdr:from>
      <xdr:col>4</xdr:col>
      <xdr:colOff>295275</xdr:colOff>
      <xdr:row>18</xdr:row>
      <xdr:rowOff>38100</xdr:rowOff>
    </xdr:from>
    <xdr:to>
      <xdr:col>4</xdr:col>
      <xdr:colOff>295275</xdr:colOff>
      <xdr:row>21</xdr:row>
      <xdr:rowOff>9525</xdr:rowOff>
    </xdr:to>
    <xdr:sp macro="" textlink="">
      <xdr:nvSpPr>
        <xdr:cNvPr id="62" name="Line 4"/>
        <xdr:cNvSpPr>
          <a:spLocks noChangeShapeType="1"/>
        </xdr:cNvSpPr>
      </xdr:nvSpPr>
      <xdr:spPr bwMode="auto">
        <a:xfrm rot="10800000" flipV="1">
          <a:off x="2733675" y="2952750"/>
          <a:ext cx="0" cy="457200"/>
        </a:xfrm>
        <a:prstGeom prst="line">
          <a:avLst/>
        </a:prstGeom>
        <a:noFill/>
        <a:ln w="28575">
          <a:solidFill>
            <a:srgbClr val="339966"/>
          </a:solidFill>
          <a:round/>
          <a:headEnd/>
          <a:tailEnd/>
        </a:ln>
      </xdr:spPr>
    </xdr:sp>
    <xdr:clientData fLocksWithSheet="0"/>
  </xdr:twoCellAnchor>
  <xdr:twoCellAnchor>
    <xdr:from>
      <xdr:col>8</xdr:col>
      <xdr:colOff>142875</xdr:colOff>
      <xdr:row>46</xdr:row>
      <xdr:rowOff>5715</xdr:rowOff>
    </xdr:from>
    <xdr:to>
      <xdr:col>8</xdr:col>
      <xdr:colOff>142875</xdr:colOff>
      <xdr:row>49</xdr:row>
      <xdr:rowOff>160020</xdr:rowOff>
    </xdr:to>
    <xdr:sp macro="" textlink="">
      <xdr:nvSpPr>
        <xdr:cNvPr id="63" name="Line 6"/>
        <xdr:cNvSpPr>
          <a:spLocks noChangeShapeType="1"/>
        </xdr:cNvSpPr>
      </xdr:nvSpPr>
      <xdr:spPr bwMode="auto">
        <a:xfrm rot="10800000" flipH="1">
          <a:off x="5019675" y="7454265"/>
          <a:ext cx="0" cy="640080"/>
        </a:xfrm>
        <a:prstGeom prst="line">
          <a:avLst/>
        </a:prstGeom>
        <a:noFill/>
        <a:ln w="28575">
          <a:solidFill>
            <a:srgbClr val="FF0000"/>
          </a:solidFill>
          <a:round/>
          <a:headEnd/>
          <a:tailEnd/>
        </a:ln>
      </xdr:spPr>
    </xdr:sp>
    <xdr:clientData fLocksWithSheet="0"/>
  </xdr:twoCellAnchor>
  <xdr:twoCellAnchor>
    <xdr:from>
      <xdr:col>7</xdr:col>
      <xdr:colOff>295275</xdr:colOff>
      <xdr:row>47</xdr:row>
      <xdr:rowOff>28573</xdr:rowOff>
    </xdr:from>
    <xdr:to>
      <xdr:col>7</xdr:col>
      <xdr:colOff>295275</xdr:colOff>
      <xdr:row>49</xdr:row>
      <xdr:rowOff>161923</xdr:rowOff>
    </xdr:to>
    <xdr:sp macro="" textlink="">
      <xdr:nvSpPr>
        <xdr:cNvPr id="64" name="Line 4"/>
        <xdr:cNvSpPr>
          <a:spLocks noChangeShapeType="1"/>
        </xdr:cNvSpPr>
      </xdr:nvSpPr>
      <xdr:spPr bwMode="auto">
        <a:xfrm rot="10800000" flipV="1">
          <a:off x="4562475" y="7639048"/>
          <a:ext cx="0" cy="457200"/>
        </a:xfrm>
        <a:prstGeom prst="line">
          <a:avLst/>
        </a:prstGeom>
        <a:noFill/>
        <a:ln w="28575">
          <a:solidFill>
            <a:srgbClr val="0066FF"/>
          </a:solidFill>
          <a:round/>
          <a:headEnd/>
          <a:tailEnd/>
        </a:ln>
      </xdr:spPr>
    </xdr:sp>
    <xdr:clientData fLocksWithSheet="0"/>
  </xdr:twoCellAnchor>
  <xdr:twoCellAnchor>
    <xdr:from>
      <xdr:col>6</xdr:col>
      <xdr:colOff>171450</xdr:colOff>
      <xdr:row>47</xdr:row>
      <xdr:rowOff>120015</xdr:rowOff>
    </xdr:from>
    <xdr:to>
      <xdr:col>6</xdr:col>
      <xdr:colOff>171450</xdr:colOff>
      <xdr:row>50</xdr:row>
      <xdr:rowOff>0</xdr:rowOff>
    </xdr:to>
    <xdr:sp macro="" textlink="">
      <xdr:nvSpPr>
        <xdr:cNvPr id="65" name="Line 4"/>
        <xdr:cNvSpPr>
          <a:spLocks noChangeShapeType="1"/>
        </xdr:cNvSpPr>
      </xdr:nvSpPr>
      <xdr:spPr bwMode="auto">
        <a:xfrm rot="10800000" flipV="1">
          <a:off x="3829050" y="7730490"/>
          <a:ext cx="0" cy="365760"/>
        </a:xfrm>
        <a:prstGeom prst="line">
          <a:avLst/>
        </a:prstGeom>
        <a:noFill/>
        <a:ln w="28575">
          <a:solidFill>
            <a:srgbClr val="339966"/>
          </a:solidFill>
          <a:round/>
          <a:headEnd/>
          <a:tailEnd/>
        </a:ln>
      </xdr:spPr>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47881</xdr:colOff>
      <xdr:row>33</xdr:row>
      <xdr:rowOff>104775</xdr:rowOff>
    </xdr:from>
    <xdr:to>
      <xdr:col>10</xdr:col>
      <xdr:colOff>555668</xdr:colOff>
      <xdr:row>54</xdr:row>
      <xdr:rowOff>28575</xdr:rowOff>
    </xdr:to>
    <xdr:pic>
      <xdr:nvPicPr>
        <xdr:cNvPr id="717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881" y="5524500"/>
          <a:ext cx="6603787" cy="3324225"/>
        </a:xfrm>
        <a:prstGeom prst="rect">
          <a:avLst/>
        </a:prstGeom>
        <a:noFill/>
      </xdr:spPr>
    </xdr:pic>
    <xdr:clientData/>
  </xdr:twoCellAnchor>
  <xdr:twoCellAnchor editAs="oneCell">
    <xdr:from>
      <xdr:col>0</xdr:col>
      <xdr:colOff>38100</xdr:colOff>
      <xdr:row>4</xdr:row>
      <xdr:rowOff>95250</xdr:rowOff>
    </xdr:from>
    <xdr:to>
      <xdr:col>10</xdr:col>
      <xdr:colOff>563880</xdr:colOff>
      <xdr:row>25</xdr:row>
      <xdr:rowOff>47625</xdr:rowOff>
    </xdr:to>
    <xdr:pic>
      <xdr:nvPicPr>
        <xdr:cNvPr id="716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38100" y="819150"/>
          <a:ext cx="6621780" cy="3352800"/>
        </a:xfrm>
        <a:prstGeom prst="rect">
          <a:avLst/>
        </a:prstGeom>
        <a:noFill/>
      </xdr:spPr>
    </xdr:pic>
    <xdr:clientData/>
  </xdr:twoCellAnchor>
  <xdr:twoCellAnchor>
    <xdr:from>
      <xdr:col>9</xdr:col>
      <xdr:colOff>342901</xdr:colOff>
      <xdr:row>10</xdr:row>
      <xdr:rowOff>12383</xdr:rowOff>
    </xdr:from>
    <xdr:to>
      <xdr:col>9</xdr:col>
      <xdr:colOff>342901</xdr:colOff>
      <xdr:row>19</xdr:row>
      <xdr:rowOff>109538</xdr:rowOff>
    </xdr:to>
    <xdr:sp macro="" textlink="">
      <xdr:nvSpPr>
        <xdr:cNvPr id="14" name="Line 4"/>
        <xdr:cNvSpPr>
          <a:spLocks noChangeShapeType="1"/>
        </xdr:cNvSpPr>
      </xdr:nvSpPr>
      <xdr:spPr bwMode="auto">
        <a:xfrm rot="10800000" flipV="1">
          <a:off x="5829301" y="1707833"/>
          <a:ext cx="0" cy="1554480"/>
        </a:xfrm>
        <a:prstGeom prst="line">
          <a:avLst/>
        </a:prstGeom>
        <a:noFill/>
        <a:ln w="28575">
          <a:solidFill>
            <a:srgbClr val="FF0000"/>
          </a:solidFill>
          <a:round/>
          <a:headEnd/>
          <a:tailEnd/>
        </a:ln>
      </xdr:spPr>
    </xdr:sp>
    <xdr:clientData fLocksWithSheet="0"/>
  </xdr:twoCellAnchor>
  <xdr:twoCellAnchor>
    <xdr:from>
      <xdr:col>4</xdr:col>
      <xdr:colOff>180976</xdr:colOff>
      <xdr:row>17</xdr:row>
      <xdr:rowOff>159068</xdr:rowOff>
    </xdr:from>
    <xdr:to>
      <xdr:col>4</xdr:col>
      <xdr:colOff>180976</xdr:colOff>
      <xdr:row>19</xdr:row>
      <xdr:rowOff>109538</xdr:rowOff>
    </xdr:to>
    <xdr:sp macro="" textlink="">
      <xdr:nvSpPr>
        <xdr:cNvPr id="15" name="Line 6"/>
        <xdr:cNvSpPr>
          <a:spLocks noChangeShapeType="1"/>
        </xdr:cNvSpPr>
      </xdr:nvSpPr>
      <xdr:spPr bwMode="auto">
        <a:xfrm rot="10800000" flipV="1">
          <a:off x="2619376" y="2987993"/>
          <a:ext cx="0" cy="274320"/>
        </a:xfrm>
        <a:prstGeom prst="line">
          <a:avLst/>
        </a:prstGeom>
        <a:noFill/>
        <a:ln w="28575">
          <a:solidFill>
            <a:srgbClr val="339966"/>
          </a:solidFill>
          <a:round/>
          <a:headEnd/>
          <a:tailEnd/>
        </a:ln>
      </xdr:spPr>
    </xdr:sp>
    <xdr:clientData fLocksWithSheet="0"/>
  </xdr:twoCellAnchor>
  <xdr:twoCellAnchor>
    <xdr:from>
      <xdr:col>2</xdr:col>
      <xdr:colOff>423869</xdr:colOff>
      <xdr:row>18</xdr:row>
      <xdr:rowOff>57168</xdr:rowOff>
    </xdr:from>
    <xdr:to>
      <xdr:col>5</xdr:col>
      <xdr:colOff>149549</xdr:colOff>
      <xdr:row>18</xdr:row>
      <xdr:rowOff>57168</xdr:rowOff>
    </xdr:to>
    <xdr:sp macro="" textlink="">
      <xdr:nvSpPr>
        <xdr:cNvPr id="16" name="Line 10"/>
        <xdr:cNvSpPr>
          <a:spLocks noChangeShapeType="1"/>
        </xdr:cNvSpPr>
      </xdr:nvSpPr>
      <xdr:spPr bwMode="auto">
        <a:xfrm>
          <a:off x="1643069" y="3048018"/>
          <a:ext cx="1554480" cy="0"/>
        </a:xfrm>
        <a:prstGeom prst="line">
          <a:avLst/>
        </a:prstGeom>
        <a:noFill/>
        <a:ln w="28575">
          <a:solidFill>
            <a:srgbClr val="339966"/>
          </a:solidFill>
          <a:round/>
          <a:headEnd/>
          <a:tailEnd/>
        </a:ln>
      </xdr:spPr>
    </xdr:sp>
    <xdr:clientData fLocksWithSheet="0"/>
  </xdr:twoCellAnchor>
  <xdr:twoCellAnchor>
    <xdr:from>
      <xdr:col>2</xdr:col>
      <xdr:colOff>409577</xdr:colOff>
      <xdr:row>45</xdr:row>
      <xdr:rowOff>128586</xdr:rowOff>
    </xdr:from>
    <xdr:to>
      <xdr:col>5</xdr:col>
      <xdr:colOff>276227</xdr:colOff>
      <xdr:row>45</xdr:row>
      <xdr:rowOff>128586</xdr:rowOff>
    </xdr:to>
    <xdr:sp macro="" textlink="">
      <xdr:nvSpPr>
        <xdr:cNvPr id="17" name="Line 11"/>
        <xdr:cNvSpPr>
          <a:spLocks noChangeShapeType="1"/>
        </xdr:cNvSpPr>
      </xdr:nvSpPr>
      <xdr:spPr bwMode="auto">
        <a:xfrm>
          <a:off x="1628777" y="7491411"/>
          <a:ext cx="1695450" cy="0"/>
        </a:xfrm>
        <a:prstGeom prst="line">
          <a:avLst/>
        </a:prstGeom>
        <a:noFill/>
        <a:ln w="28575">
          <a:solidFill>
            <a:srgbClr val="339966"/>
          </a:solidFill>
          <a:round/>
          <a:headEnd/>
          <a:tailEnd/>
        </a:ln>
      </xdr:spPr>
    </xdr:sp>
    <xdr:clientData fLocksWithSheet="0"/>
  </xdr:twoCellAnchor>
  <xdr:twoCellAnchor>
    <xdr:from>
      <xdr:col>5</xdr:col>
      <xdr:colOff>309563</xdr:colOff>
      <xdr:row>45</xdr:row>
      <xdr:rowOff>123825</xdr:rowOff>
    </xdr:from>
    <xdr:to>
      <xdr:col>5</xdr:col>
      <xdr:colOff>309563</xdr:colOff>
      <xdr:row>48</xdr:row>
      <xdr:rowOff>95250</xdr:rowOff>
    </xdr:to>
    <xdr:sp macro="" textlink="">
      <xdr:nvSpPr>
        <xdr:cNvPr id="19" name="Line 12"/>
        <xdr:cNvSpPr>
          <a:spLocks noChangeShapeType="1"/>
        </xdr:cNvSpPr>
      </xdr:nvSpPr>
      <xdr:spPr bwMode="auto">
        <a:xfrm rot="10800000" flipV="1">
          <a:off x="3357563" y="7486650"/>
          <a:ext cx="0" cy="457200"/>
        </a:xfrm>
        <a:prstGeom prst="line">
          <a:avLst/>
        </a:prstGeom>
        <a:noFill/>
        <a:ln w="28575">
          <a:solidFill>
            <a:srgbClr val="339966"/>
          </a:solidFill>
          <a:round/>
          <a:headEnd/>
          <a:tailEnd/>
        </a:ln>
      </xdr:spPr>
    </xdr:sp>
    <xdr:clientData fLocksWithSheet="0"/>
  </xdr:twoCellAnchor>
  <xdr:twoCellAnchor>
    <xdr:from>
      <xdr:col>2</xdr:col>
      <xdr:colOff>423867</xdr:colOff>
      <xdr:row>9</xdr:row>
      <xdr:rowOff>47625</xdr:rowOff>
    </xdr:from>
    <xdr:to>
      <xdr:col>9</xdr:col>
      <xdr:colOff>362907</xdr:colOff>
      <xdr:row>9</xdr:row>
      <xdr:rowOff>47625</xdr:rowOff>
    </xdr:to>
    <xdr:sp macro="" textlink="">
      <xdr:nvSpPr>
        <xdr:cNvPr id="20" name="Line 8"/>
        <xdr:cNvSpPr>
          <a:spLocks noChangeShapeType="1"/>
        </xdr:cNvSpPr>
      </xdr:nvSpPr>
      <xdr:spPr bwMode="auto">
        <a:xfrm>
          <a:off x="1643067" y="1581150"/>
          <a:ext cx="4206240" cy="0"/>
        </a:xfrm>
        <a:prstGeom prst="line">
          <a:avLst/>
        </a:prstGeom>
        <a:noFill/>
        <a:ln w="28575">
          <a:solidFill>
            <a:srgbClr val="FF0000"/>
          </a:solidFill>
          <a:round/>
          <a:headEnd/>
          <a:tailEnd/>
        </a:ln>
      </xdr:spPr>
    </xdr:sp>
    <xdr:clientData fLocksWithSheet="0"/>
  </xdr:twoCellAnchor>
  <xdr:twoCellAnchor>
    <xdr:from>
      <xdr:col>2</xdr:col>
      <xdr:colOff>423864</xdr:colOff>
      <xdr:row>12</xdr:row>
      <xdr:rowOff>57150</xdr:rowOff>
    </xdr:from>
    <xdr:to>
      <xdr:col>6</xdr:col>
      <xdr:colOff>88584</xdr:colOff>
      <xdr:row>12</xdr:row>
      <xdr:rowOff>57150</xdr:rowOff>
    </xdr:to>
    <xdr:sp macro="" textlink="">
      <xdr:nvSpPr>
        <xdr:cNvPr id="21" name="Line 8"/>
        <xdr:cNvSpPr>
          <a:spLocks noChangeShapeType="1"/>
        </xdr:cNvSpPr>
      </xdr:nvSpPr>
      <xdr:spPr bwMode="auto">
        <a:xfrm>
          <a:off x="1643064" y="2076450"/>
          <a:ext cx="2103120" cy="0"/>
        </a:xfrm>
        <a:prstGeom prst="line">
          <a:avLst/>
        </a:prstGeom>
        <a:noFill/>
        <a:ln w="28575">
          <a:solidFill>
            <a:srgbClr val="0066FF"/>
          </a:solidFill>
          <a:round/>
          <a:headEnd/>
          <a:tailEnd/>
        </a:ln>
      </xdr:spPr>
    </xdr:sp>
    <xdr:clientData fLocksWithSheet="0"/>
  </xdr:twoCellAnchor>
  <xdr:twoCellAnchor>
    <xdr:from>
      <xdr:col>5</xdr:col>
      <xdr:colOff>447676</xdr:colOff>
      <xdr:row>12</xdr:row>
      <xdr:rowOff>145734</xdr:rowOff>
    </xdr:from>
    <xdr:to>
      <xdr:col>5</xdr:col>
      <xdr:colOff>447676</xdr:colOff>
      <xdr:row>19</xdr:row>
      <xdr:rowOff>109539</xdr:rowOff>
    </xdr:to>
    <xdr:sp macro="" textlink="">
      <xdr:nvSpPr>
        <xdr:cNvPr id="23" name="Line 7"/>
        <xdr:cNvSpPr>
          <a:spLocks noChangeShapeType="1"/>
        </xdr:cNvSpPr>
      </xdr:nvSpPr>
      <xdr:spPr bwMode="auto">
        <a:xfrm rot="10800000" flipV="1">
          <a:off x="3495676" y="2165034"/>
          <a:ext cx="0" cy="1097280"/>
        </a:xfrm>
        <a:prstGeom prst="line">
          <a:avLst/>
        </a:prstGeom>
        <a:noFill/>
        <a:ln w="28575">
          <a:solidFill>
            <a:srgbClr val="0066FF"/>
          </a:solidFill>
          <a:round/>
          <a:headEnd/>
          <a:tailEnd/>
        </a:ln>
      </xdr:spPr>
    </xdr:sp>
    <xdr:clientData fLocksWithSheet="0"/>
  </xdr:twoCellAnchor>
  <xdr:twoCellAnchor>
    <xdr:from>
      <xdr:col>2</xdr:col>
      <xdr:colOff>409577</xdr:colOff>
      <xdr:row>44</xdr:row>
      <xdr:rowOff>114299</xdr:rowOff>
    </xdr:from>
    <xdr:to>
      <xdr:col>7</xdr:col>
      <xdr:colOff>66677</xdr:colOff>
      <xdr:row>44</xdr:row>
      <xdr:rowOff>114299</xdr:rowOff>
    </xdr:to>
    <xdr:sp macro="" textlink="">
      <xdr:nvSpPr>
        <xdr:cNvPr id="24" name="Line 8"/>
        <xdr:cNvSpPr>
          <a:spLocks noChangeShapeType="1"/>
        </xdr:cNvSpPr>
      </xdr:nvSpPr>
      <xdr:spPr bwMode="auto">
        <a:xfrm>
          <a:off x="1628777" y="7315199"/>
          <a:ext cx="2705100" cy="0"/>
        </a:xfrm>
        <a:prstGeom prst="line">
          <a:avLst/>
        </a:prstGeom>
        <a:noFill/>
        <a:ln w="28575">
          <a:solidFill>
            <a:srgbClr val="0066FF"/>
          </a:solidFill>
          <a:round/>
          <a:headEnd/>
          <a:tailEnd/>
        </a:ln>
      </xdr:spPr>
    </xdr:sp>
    <xdr:clientData fLocksWithSheet="0"/>
  </xdr:twoCellAnchor>
  <xdr:twoCellAnchor>
    <xdr:from>
      <xdr:col>7</xdr:col>
      <xdr:colOff>57148</xdr:colOff>
      <xdr:row>44</xdr:row>
      <xdr:rowOff>102869</xdr:rowOff>
    </xdr:from>
    <xdr:to>
      <xdr:col>7</xdr:col>
      <xdr:colOff>57148</xdr:colOff>
      <xdr:row>48</xdr:row>
      <xdr:rowOff>95249</xdr:rowOff>
    </xdr:to>
    <xdr:sp macro="" textlink="">
      <xdr:nvSpPr>
        <xdr:cNvPr id="25" name="Line 7"/>
        <xdr:cNvSpPr>
          <a:spLocks noChangeShapeType="1"/>
        </xdr:cNvSpPr>
      </xdr:nvSpPr>
      <xdr:spPr bwMode="auto">
        <a:xfrm rot="10800000" flipV="1">
          <a:off x="4324348" y="7303769"/>
          <a:ext cx="0" cy="640080"/>
        </a:xfrm>
        <a:prstGeom prst="line">
          <a:avLst/>
        </a:prstGeom>
        <a:noFill/>
        <a:ln w="28575">
          <a:solidFill>
            <a:srgbClr val="0066FF"/>
          </a:solidFill>
          <a:round/>
          <a:headEnd/>
          <a:tailEnd/>
        </a:ln>
      </xdr:spPr>
    </xdr:sp>
    <xdr:clientData fLocksWithSheet="0"/>
  </xdr:twoCellAnchor>
  <xdr:twoCellAnchor>
    <xdr:from>
      <xdr:col>2</xdr:col>
      <xdr:colOff>409575</xdr:colOff>
      <xdr:row>42</xdr:row>
      <xdr:rowOff>152399</xdr:rowOff>
    </xdr:from>
    <xdr:to>
      <xdr:col>9</xdr:col>
      <xdr:colOff>74295</xdr:colOff>
      <xdr:row>42</xdr:row>
      <xdr:rowOff>152399</xdr:rowOff>
    </xdr:to>
    <xdr:sp macro="" textlink="">
      <xdr:nvSpPr>
        <xdr:cNvPr id="26" name="Line 3"/>
        <xdr:cNvSpPr>
          <a:spLocks noChangeShapeType="1"/>
        </xdr:cNvSpPr>
      </xdr:nvSpPr>
      <xdr:spPr bwMode="auto">
        <a:xfrm>
          <a:off x="1628775" y="7029449"/>
          <a:ext cx="3931920" cy="0"/>
        </a:xfrm>
        <a:prstGeom prst="line">
          <a:avLst/>
        </a:prstGeom>
        <a:noFill/>
        <a:ln w="28575">
          <a:solidFill>
            <a:srgbClr val="FF0000"/>
          </a:solidFill>
          <a:round/>
          <a:headEnd/>
          <a:tailEnd/>
        </a:ln>
      </xdr:spPr>
    </xdr:sp>
    <xdr:clientData fLocksWithSheet="0"/>
  </xdr:twoCellAnchor>
  <xdr:twoCellAnchor>
    <xdr:from>
      <xdr:col>9</xdr:col>
      <xdr:colOff>76200</xdr:colOff>
      <xdr:row>42</xdr:row>
      <xdr:rowOff>147637</xdr:rowOff>
    </xdr:from>
    <xdr:to>
      <xdr:col>9</xdr:col>
      <xdr:colOff>76200</xdr:colOff>
      <xdr:row>48</xdr:row>
      <xdr:rowOff>90487</xdr:rowOff>
    </xdr:to>
    <xdr:sp macro="" textlink="">
      <xdr:nvSpPr>
        <xdr:cNvPr id="27" name="Line 4"/>
        <xdr:cNvSpPr>
          <a:spLocks noChangeShapeType="1"/>
        </xdr:cNvSpPr>
      </xdr:nvSpPr>
      <xdr:spPr bwMode="auto">
        <a:xfrm rot="10800000" flipV="1">
          <a:off x="5562600" y="7024687"/>
          <a:ext cx="0" cy="914400"/>
        </a:xfrm>
        <a:prstGeom prst="line">
          <a:avLst/>
        </a:prstGeom>
        <a:noFill/>
        <a:ln w="28575">
          <a:solidFill>
            <a:srgbClr val="FF0000"/>
          </a:solidFill>
          <a:round/>
          <a:headEnd/>
          <a:tailEnd/>
        </a:ln>
      </xdr:spPr>
    </xdr:sp>
    <xdr:clientData fLocksWithSheet="0"/>
  </xdr:twoCellAnchor>
  <xdr:twoCellAnchor>
    <xdr:from>
      <xdr:col>2</xdr:col>
      <xdr:colOff>423867</xdr:colOff>
      <xdr:row>9</xdr:row>
      <xdr:rowOff>104775</xdr:rowOff>
    </xdr:from>
    <xdr:to>
      <xdr:col>9</xdr:col>
      <xdr:colOff>362907</xdr:colOff>
      <xdr:row>9</xdr:row>
      <xdr:rowOff>104775</xdr:rowOff>
    </xdr:to>
    <xdr:sp macro="" textlink="">
      <xdr:nvSpPr>
        <xdr:cNvPr id="28" name="Line 8"/>
        <xdr:cNvSpPr>
          <a:spLocks noChangeShapeType="1"/>
        </xdr:cNvSpPr>
      </xdr:nvSpPr>
      <xdr:spPr bwMode="auto">
        <a:xfrm>
          <a:off x="1643067" y="1638300"/>
          <a:ext cx="4206240" cy="0"/>
        </a:xfrm>
        <a:prstGeom prst="line">
          <a:avLst/>
        </a:prstGeom>
        <a:noFill/>
        <a:ln w="28575">
          <a:solidFill>
            <a:srgbClr val="FF0000"/>
          </a:solidFill>
          <a:round/>
          <a:headEnd/>
          <a:tailEnd/>
        </a:ln>
      </xdr:spPr>
    </xdr:sp>
    <xdr:clientData fLocksWithSheet="0"/>
  </xdr:twoCellAnchor>
  <xdr:twoCellAnchor>
    <xdr:from>
      <xdr:col>2</xdr:col>
      <xdr:colOff>423867</xdr:colOff>
      <xdr:row>10</xdr:row>
      <xdr:rowOff>4763</xdr:rowOff>
    </xdr:from>
    <xdr:to>
      <xdr:col>9</xdr:col>
      <xdr:colOff>362907</xdr:colOff>
      <xdr:row>10</xdr:row>
      <xdr:rowOff>4763</xdr:rowOff>
    </xdr:to>
    <xdr:sp macro="" textlink="">
      <xdr:nvSpPr>
        <xdr:cNvPr id="29" name="Line 8"/>
        <xdr:cNvSpPr>
          <a:spLocks noChangeShapeType="1"/>
        </xdr:cNvSpPr>
      </xdr:nvSpPr>
      <xdr:spPr bwMode="auto">
        <a:xfrm>
          <a:off x="1643067" y="1700213"/>
          <a:ext cx="4206240" cy="0"/>
        </a:xfrm>
        <a:prstGeom prst="line">
          <a:avLst/>
        </a:prstGeom>
        <a:noFill/>
        <a:ln w="28575">
          <a:solidFill>
            <a:srgbClr val="FF0000"/>
          </a:solidFill>
          <a:round/>
          <a:headEnd/>
          <a:tailEnd/>
        </a:ln>
      </xdr:spPr>
    </xdr:sp>
    <xdr:clientData fLocksWithSheet="0"/>
  </xdr:twoCellAnchor>
  <xdr:twoCellAnchor>
    <xdr:from>
      <xdr:col>2</xdr:col>
      <xdr:colOff>423867</xdr:colOff>
      <xdr:row>10</xdr:row>
      <xdr:rowOff>71438</xdr:rowOff>
    </xdr:from>
    <xdr:to>
      <xdr:col>9</xdr:col>
      <xdr:colOff>362907</xdr:colOff>
      <xdr:row>10</xdr:row>
      <xdr:rowOff>71438</xdr:rowOff>
    </xdr:to>
    <xdr:sp macro="" textlink="">
      <xdr:nvSpPr>
        <xdr:cNvPr id="30" name="Line 8"/>
        <xdr:cNvSpPr>
          <a:spLocks noChangeShapeType="1"/>
        </xdr:cNvSpPr>
      </xdr:nvSpPr>
      <xdr:spPr bwMode="auto">
        <a:xfrm>
          <a:off x="1643067" y="1766888"/>
          <a:ext cx="4206240" cy="0"/>
        </a:xfrm>
        <a:prstGeom prst="line">
          <a:avLst/>
        </a:prstGeom>
        <a:noFill/>
        <a:ln w="28575">
          <a:solidFill>
            <a:srgbClr val="FF0000"/>
          </a:solidFill>
          <a:round/>
          <a:headEnd/>
          <a:tailEnd/>
        </a:ln>
      </xdr:spPr>
    </xdr:sp>
    <xdr:clientData fLocksWithSheet="0"/>
  </xdr:twoCellAnchor>
  <xdr:twoCellAnchor>
    <xdr:from>
      <xdr:col>2</xdr:col>
      <xdr:colOff>423864</xdr:colOff>
      <xdr:row>12</xdr:row>
      <xdr:rowOff>104775</xdr:rowOff>
    </xdr:from>
    <xdr:to>
      <xdr:col>6</xdr:col>
      <xdr:colOff>88584</xdr:colOff>
      <xdr:row>12</xdr:row>
      <xdr:rowOff>104775</xdr:rowOff>
    </xdr:to>
    <xdr:sp macro="" textlink="">
      <xdr:nvSpPr>
        <xdr:cNvPr id="31" name="Line 8"/>
        <xdr:cNvSpPr>
          <a:spLocks noChangeShapeType="1"/>
        </xdr:cNvSpPr>
      </xdr:nvSpPr>
      <xdr:spPr bwMode="auto">
        <a:xfrm>
          <a:off x="1643064" y="2124075"/>
          <a:ext cx="2103120" cy="0"/>
        </a:xfrm>
        <a:prstGeom prst="line">
          <a:avLst/>
        </a:prstGeom>
        <a:noFill/>
        <a:ln w="28575">
          <a:solidFill>
            <a:srgbClr val="0066FF"/>
          </a:solidFill>
          <a:round/>
          <a:headEnd/>
          <a:tailEnd/>
        </a:ln>
      </xdr:spPr>
    </xdr:sp>
    <xdr:clientData fLocksWithSheet="0"/>
  </xdr:twoCellAnchor>
  <xdr:twoCellAnchor>
    <xdr:from>
      <xdr:col>2</xdr:col>
      <xdr:colOff>423864</xdr:colOff>
      <xdr:row>13</xdr:row>
      <xdr:rowOff>0</xdr:rowOff>
    </xdr:from>
    <xdr:to>
      <xdr:col>6</xdr:col>
      <xdr:colOff>88584</xdr:colOff>
      <xdr:row>13</xdr:row>
      <xdr:rowOff>0</xdr:rowOff>
    </xdr:to>
    <xdr:sp macro="" textlink="">
      <xdr:nvSpPr>
        <xdr:cNvPr id="34" name="Line 8"/>
        <xdr:cNvSpPr>
          <a:spLocks noChangeShapeType="1"/>
        </xdr:cNvSpPr>
      </xdr:nvSpPr>
      <xdr:spPr bwMode="auto">
        <a:xfrm>
          <a:off x="1643064" y="2181225"/>
          <a:ext cx="2103120" cy="0"/>
        </a:xfrm>
        <a:prstGeom prst="line">
          <a:avLst/>
        </a:prstGeom>
        <a:noFill/>
        <a:ln w="28575">
          <a:solidFill>
            <a:srgbClr val="0066FF"/>
          </a:solidFill>
          <a:round/>
          <a:headEnd/>
          <a:tailEnd/>
        </a:ln>
      </xdr:spPr>
    </xdr:sp>
    <xdr:clientData fLocksWithSheet="0"/>
  </xdr:twoCellAnchor>
  <xdr:twoCellAnchor>
    <xdr:from>
      <xdr:col>2</xdr:col>
      <xdr:colOff>423864</xdr:colOff>
      <xdr:row>13</xdr:row>
      <xdr:rowOff>57150</xdr:rowOff>
    </xdr:from>
    <xdr:to>
      <xdr:col>6</xdr:col>
      <xdr:colOff>88584</xdr:colOff>
      <xdr:row>13</xdr:row>
      <xdr:rowOff>57150</xdr:rowOff>
    </xdr:to>
    <xdr:sp macro="" textlink="">
      <xdr:nvSpPr>
        <xdr:cNvPr id="38" name="Line 8"/>
        <xdr:cNvSpPr>
          <a:spLocks noChangeShapeType="1"/>
        </xdr:cNvSpPr>
      </xdr:nvSpPr>
      <xdr:spPr bwMode="auto">
        <a:xfrm>
          <a:off x="1643064" y="2238375"/>
          <a:ext cx="2103120" cy="0"/>
        </a:xfrm>
        <a:prstGeom prst="line">
          <a:avLst/>
        </a:prstGeom>
        <a:noFill/>
        <a:ln w="28575">
          <a:solidFill>
            <a:srgbClr val="0066FF"/>
          </a:solidFill>
          <a:round/>
          <a:headEnd/>
          <a:tailEnd/>
        </a:ln>
      </xdr:spPr>
    </xdr:sp>
    <xdr:clientData fLocksWithSheet="0"/>
  </xdr:twoCellAnchor>
  <xdr:twoCellAnchor>
    <xdr:from>
      <xdr:col>5</xdr:col>
      <xdr:colOff>509588</xdr:colOff>
      <xdr:row>12</xdr:row>
      <xdr:rowOff>145734</xdr:rowOff>
    </xdr:from>
    <xdr:to>
      <xdr:col>5</xdr:col>
      <xdr:colOff>509588</xdr:colOff>
      <xdr:row>19</xdr:row>
      <xdr:rowOff>109539</xdr:rowOff>
    </xdr:to>
    <xdr:sp macro="" textlink="">
      <xdr:nvSpPr>
        <xdr:cNvPr id="40" name="Line 7"/>
        <xdr:cNvSpPr>
          <a:spLocks noChangeShapeType="1"/>
        </xdr:cNvSpPr>
      </xdr:nvSpPr>
      <xdr:spPr bwMode="auto">
        <a:xfrm rot="10800000" flipV="1">
          <a:off x="3557588" y="2165034"/>
          <a:ext cx="0" cy="1097280"/>
        </a:xfrm>
        <a:prstGeom prst="line">
          <a:avLst/>
        </a:prstGeom>
        <a:noFill/>
        <a:ln w="28575">
          <a:solidFill>
            <a:srgbClr val="0066FF"/>
          </a:solidFill>
          <a:round/>
          <a:headEnd/>
          <a:tailEnd/>
        </a:ln>
      </xdr:spPr>
    </xdr:sp>
    <xdr:clientData fLocksWithSheet="0"/>
  </xdr:twoCellAnchor>
  <xdr:twoCellAnchor>
    <xdr:from>
      <xdr:col>5</xdr:col>
      <xdr:colOff>585788</xdr:colOff>
      <xdr:row>12</xdr:row>
      <xdr:rowOff>145734</xdr:rowOff>
    </xdr:from>
    <xdr:to>
      <xdr:col>5</xdr:col>
      <xdr:colOff>585788</xdr:colOff>
      <xdr:row>19</xdr:row>
      <xdr:rowOff>109539</xdr:rowOff>
    </xdr:to>
    <xdr:sp macro="" textlink="">
      <xdr:nvSpPr>
        <xdr:cNvPr id="41" name="Line 7"/>
        <xdr:cNvSpPr>
          <a:spLocks noChangeShapeType="1"/>
        </xdr:cNvSpPr>
      </xdr:nvSpPr>
      <xdr:spPr bwMode="auto">
        <a:xfrm rot="10800000" flipV="1">
          <a:off x="3633788" y="2165034"/>
          <a:ext cx="0" cy="1097280"/>
        </a:xfrm>
        <a:prstGeom prst="line">
          <a:avLst/>
        </a:prstGeom>
        <a:noFill/>
        <a:ln w="28575">
          <a:solidFill>
            <a:srgbClr val="0066FF"/>
          </a:solidFill>
          <a:round/>
          <a:headEnd/>
          <a:tailEnd/>
        </a:ln>
      </xdr:spPr>
    </xdr:sp>
    <xdr:clientData fLocksWithSheet="0"/>
  </xdr:twoCellAnchor>
  <xdr:twoCellAnchor>
    <xdr:from>
      <xdr:col>6</xdr:col>
      <xdr:colOff>38101</xdr:colOff>
      <xdr:row>12</xdr:row>
      <xdr:rowOff>145734</xdr:rowOff>
    </xdr:from>
    <xdr:to>
      <xdr:col>6</xdr:col>
      <xdr:colOff>38101</xdr:colOff>
      <xdr:row>19</xdr:row>
      <xdr:rowOff>109539</xdr:rowOff>
    </xdr:to>
    <xdr:sp macro="" textlink="">
      <xdr:nvSpPr>
        <xdr:cNvPr id="43" name="Line 7"/>
        <xdr:cNvSpPr>
          <a:spLocks noChangeShapeType="1"/>
        </xdr:cNvSpPr>
      </xdr:nvSpPr>
      <xdr:spPr bwMode="auto">
        <a:xfrm rot="10800000" flipV="1">
          <a:off x="3695701" y="2165034"/>
          <a:ext cx="0" cy="1097280"/>
        </a:xfrm>
        <a:prstGeom prst="line">
          <a:avLst/>
        </a:prstGeom>
        <a:noFill/>
        <a:ln w="28575">
          <a:solidFill>
            <a:srgbClr val="0066FF"/>
          </a:solidFill>
          <a:round/>
          <a:headEnd/>
          <a:tailEnd/>
        </a:ln>
      </xdr:spPr>
    </xdr:sp>
    <xdr:clientData fLocksWithSheet="0"/>
  </xdr:twoCellAnchor>
  <xdr:twoCellAnchor>
    <xdr:from>
      <xdr:col>4</xdr:col>
      <xdr:colOff>242888</xdr:colOff>
      <xdr:row>17</xdr:row>
      <xdr:rowOff>159068</xdr:rowOff>
    </xdr:from>
    <xdr:to>
      <xdr:col>4</xdr:col>
      <xdr:colOff>242888</xdr:colOff>
      <xdr:row>19</xdr:row>
      <xdr:rowOff>109538</xdr:rowOff>
    </xdr:to>
    <xdr:sp macro="" textlink="">
      <xdr:nvSpPr>
        <xdr:cNvPr id="44" name="Line 6"/>
        <xdr:cNvSpPr>
          <a:spLocks noChangeShapeType="1"/>
        </xdr:cNvSpPr>
      </xdr:nvSpPr>
      <xdr:spPr bwMode="auto">
        <a:xfrm rot="10800000" flipV="1">
          <a:off x="2681288" y="2987993"/>
          <a:ext cx="0" cy="274320"/>
        </a:xfrm>
        <a:prstGeom prst="line">
          <a:avLst/>
        </a:prstGeom>
        <a:noFill/>
        <a:ln w="28575">
          <a:solidFill>
            <a:srgbClr val="339966"/>
          </a:solidFill>
          <a:round/>
          <a:headEnd/>
          <a:tailEnd/>
        </a:ln>
      </xdr:spPr>
    </xdr:sp>
    <xdr:clientData fLocksWithSheet="0"/>
  </xdr:twoCellAnchor>
  <xdr:twoCellAnchor>
    <xdr:from>
      <xdr:col>4</xdr:col>
      <xdr:colOff>309563</xdr:colOff>
      <xdr:row>17</xdr:row>
      <xdr:rowOff>159068</xdr:rowOff>
    </xdr:from>
    <xdr:to>
      <xdr:col>4</xdr:col>
      <xdr:colOff>309563</xdr:colOff>
      <xdr:row>19</xdr:row>
      <xdr:rowOff>109538</xdr:rowOff>
    </xdr:to>
    <xdr:sp macro="" textlink="">
      <xdr:nvSpPr>
        <xdr:cNvPr id="46" name="Line 6"/>
        <xdr:cNvSpPr>
          <a:spLocks noChangeShapeType="1"/>
        </xdr:cNvSpPr>
      </xdr:nvSpPr>
      <xdr:spPr bwMode="auto">
        <a:xfrm rot="10800000" flipV="1">
          <a:off x="2747963" y="2987993"/>
          <a:ext cx="0" cy="274320"/>
        </a:xfrm>
        <a:prstGeom prst="line">
          <a:avLst/>
        </a:prstGeom>
        <a:noFill/>
        <a:ln w="28575">
          <a:solidFill>
            <a:srgbClr val="339966"/>
          </a:solidFill>
          <a:round/>
          <a:headEnd/>
          <a:tailEnd/>
        </a:ln>
      </xdr:spPr>
    </xdr:sp>
    <xdr:clientData fLocksWithSheet="0"/>
  </xdr:twoCellAnchor>
  <xdr:twoCellAnchor>
    <xdr:from>
      <xdr:col>4</xdr:col>
      <xdr:colOff>371476</xdr:colOff>
      <xdr:row>17</xdr:row>
      <xdr:rowOff>159068</xdr:rowOff>
    </xdr:from>
    <xdr:to>
      <xdr:col>4</xdr:col>
      <xdr:colOff>371476</xdr:colOff>
      <xdr:row>19</xdr:row>
      <xdr:rowOff>109538</xdr:rowOff>
    </xdr:to>
    <xdr:sp macro="" textlink="">
      <xdr:nvSpPr>
        <xdr:cNvPr id="47" name="Line 6"/>
        <xdr:cNvSpPr>
          <a:spLocks noChangeShapeType="1"/>
        </xdr:cNvSpPr>
      </xdr:nvSpPr>
      <xdr:spPr bwMode="auto">
        <a:xfrm rot="10800000" flipV="1">
          <a:off x="2809876" y="2987993"/>
          <a:ext cx="0" cy="274320"/>
        </a:xfrm>
        <a:prstGeom prst="line">
          <a:avLst/>
        </a:prstGeom>
        <a:noFill/>
        <a:ln w="28575">
          <a:solidFill>
            <a:srgbClr val="339966"/>
          </a:solidFill>
          <a:round/>
          <a:headEnd/>
          <a:tailEnd/>
        </a:ln>
      </xdr:spPr>
    </xdr:sp>
    <xdr:clientData fLocksWithSheet="0"/>
  </xdr:twoCellAnchor>
  <xdr:twoCellAnchor>
    <xdr:from>
      <xdr:col>2</xdr:col>
      <xdr:colOff>419106</xdr:colOff>
      <xdr:row>18</xdr:row>
      <xdr:rowOff>18</xdr:rowOff>
    </xdr:from>
    <xdr:to>
      <xdr:col>5</xdr:col>
      <xdr:colOff>144786</xdr:colOff>
      <xdr:row>18</xdr:row>
      <xdr:rowOff>18</xdr:rowOff>
    </xdr:to>
    <xdr:sp macro="" textlink="">
      <xdr:nvSpPr>
        <xdr:cNvPr id="48" name="Line 10"/>
        <xdr:cNvSpPr>
          <a:spLocks noChangeShapeType="1"/>
        </xdr:cNvSpPr>
      </xdr:nvSpPr>
      <xdr:spPr bwMode="auto">
        <a:xfrm>
          <a:off x="1638306" y="2990868"/>
          <a:ext cx="1554480" cy="0"/>
        </a:xfrm>
        <a:prstGeom prst="line">
          <a:avLst/>
        </a:prstGeom>
        <a:noFill/>
        <a:ln w="28575">
          <a:solidFill>
            <a:srgbClr val="339966"/>
          </a:solidFill>
          <a:round/>
          <a:headEnd/>
          <a:tailEnd/>
        </a:ln>
      </xdr:spPr>
    </xdr:sp>
    <xdr:clientData fLocksWithSheet="0"/>
  </xdr:twoCellAnchor>
  <xdr:twoCellAnchor>
    <xdr:from>
      <xdr:col>2</xdr:col>
      <xdr:colOff>419106</xdr:colOff>
      <xdr:row>17</xdr:row>
      <xdr:rowOff>104793</xdr:rowOff>
    </xdr:from>
    <xdr:to>
      <xdr:col>5</xdr:col>
      <xdr:colOff>144786</xdr:colOff>
      <xdr:row>17</xdr:row>
      <xdr:rowOff>104793</xdr:rowOff>
    </xdr:to>
    <xdr:sp macro="" textlink="">
      <xdr:nvSpPr>
        <xdr:cNvPr id="49" name="Line 10"/>
        <xdr:cNvSpPr>
          <a:spLocks noChangeShapeType="1"/>
        </xdr:cNvSpPr>
      </xdr:nvSpPr>
      <xdr:spPr bwMode="auto">
        <a:xfrm>
          <a:off x="1638306" y="2933718"/>
          <a:ext cx="1554480" cy="0"/>
        </a:xfrm>
        <a:prstGeom prst="line">
          <a:avLst/>
        </a:prstGeom>
        <a:noFill/>
        <a:ln w="28575">
          <a:solidFill>
            <a:srgbClr val="339966"/>
          </a:solidFill>
          <a:round/>
          <a:headEnd/>
          <a:tailEnd/>
        </a:ln>
      </xdr:spPr>
    </xdr:sp>
    <xdr:clientData fLocksWithSheet="0"/>
  </xdr:twoCellAnchor>
  <xdr:twoCellAnchor>
    <xdr:from>
      <xdr:col>2</xdr:col>
      <xdr:colOff>419106</xdr:colOff>
      <xdr:row>17</xdr:row>
      <xdr:rowOff>47643</xdr:rowOff>
    </xdr:from>
    <xdr:to>
      <xdr:col>5</xdr:col>
      <xdr:colOff>144786</xdr:colOff>
      <xdr:row>17</xdr:row>
      <xdr:rowOff>47643</xdr:rowOff>
    </xdr:to>
    <xdr:sp macro="" textlink="">
      <xdr:nvSpPr>
        <xdr:cNvPr id="50" name="Line 10"/>
        <xdr:cNvSpPr>
          <a:spLocks noChangeShapeType="1"/>
        </xdr:cNvSpPr>
      </xdr:nvSpPr>
      <xdr:spPr bwMode="auto">
        <a:xfrm>
          <a:off x="1638306" y="2876568"/>
          <a:ext cx="1554480" cy="0"/>
        </a:xfrm>
        <a:prstGeom prst="line">
          <a:avLst/>
        </a:prstGeom>
        <a:noFill/>
        <a:ln w="28575">
          <a:solidFill>
            <a:srgbClr val="339966"/>
          </a:solidFill>
          <a:round/>
          <a:headEnd/>
          <a:tailEnd/>
        </a:ln>
      </xdr:spPr>
    </xdr:sp>
    <xdr:clientData fLocksWithSheet="0"/>
  </xdr:twoCellAnchor>
  <xdr:twoCellAnchor>
    <xdr:from>
      <xdr:col>9</xdr:col>
      <xdr:colOff>404814</xdr:colOff>
      <xdr:row>10</xdr:row>
      <xdr:rowOff>12383</xdr:rowOff>
    </xdr:from>
    <xdr:to>
      <xdr:col>9</xdr:col>
      <xdr:colOff>404814</xdr:colOff>
      <xdr:row>19</xdr:row>
      <xdr:rowOff>109538</xdr:rowOff>
    </xdr:to>
    <xdr:sp macro="" textlink="">
      <xdr:nvSpPr>
        <xdr:cNvPr id="51" name="Line 4"/>
        <xdr:cNvSpPr>
          <a:spLocks noChangeShapeType="1"/>
        </xdr:cNvSpPr>
      </xdr:nvSpPr>
      <xdr:spPr bwMode="auto">
        <a:xfrm rot="10800000" flipV="1">
          <a:off x="5891214" y="1707833"/>
          <a:ext cx="0" cy="1554480"/>
        </a:xfrm>
        <a:prstGeom prst="line">
          <a:avLst/>
        </a:prstGeom>
        <a:noFill/>
        <a:ln w="28575">
          <a:solidFill>
            <a:srgbClr val="FF0000"/>
          </a:solidFill>
          <a:round/>
          <a:headEnd/>
          <a:tailEnd/>
        </a:ln>
      </xdr:spPr>
    </xdr:sp>
    <xdr:clientData fLocksWithSheet="0"/>
  </xdr:twoCellAnchor>
  <xdr:twoCellAnchor>
    <xdr:from>
      <xdr:col>9</xdr:col>
      <xdr:colOff>466726</xdr:colOff>
      <xdr:row>10</xdr:row>
      <xdr:rowOff>12383</xdr:rowOff>
    </xdr:from>
    <xdr:to>
      <xdr:col>9</xdr:col>
      <xdr:colOff>466726</xdr:colOff>
      <xdr:row>19</xdr:row>
      <xdr:rowOff>109538</xdr:rowOff>
    </xdr:to>
    <xdr:sp macro="" textlink="">
      <xdr:nvSpPr>
        <xdr:cNvPr id="52" name="Line 4"/>
        <xdr:cNvSpPr>
          <a:spLocks noChangeShapeType="1"/>
        </xdr:cNvSpPr>
      </xdr:nvSpPr>
      <xdr:spPr bwMode="auto">
        <a:xfrm rot="10800000" flipV="1">
          <a:off x="5953126" y="1707833"/>
          <a:ext cx="0" cy="1554480"/>
        </a:xfrm>
        <a:prstGeom prst="line">
          <a:avLst/>
        </a:prstGeom>
        <a:noFill/>
        <a:ln w="28575">
          <a:solidFill>
            <a:srgbClr val="FF0000"/>
          </a:solidFill>
          <a:round/>
          <a:headEnd/>
          <a:tailEnd/>
        </a:ln>
      </xdr:spPr>
    </xdr:sp>
    <xdr:clientData fLocksWithSheet="0"/>
  </xdr:twoCellAnchor>
  <xdr:twoCellAnchor>
    <xdr:from>
      <xdr:col>9</xdr:col>
      <xdr:colOff>528639</xdr:colOff>
      <xdr:row>10</xdr:row>
      <xdr:rowOff>12383</xdr:rowOff>
    </xdr:from>
    <xdr:to>
      <xdr:col>9</xdr:col>
      <xdr:colOff>528639</xdr:colOff>
      <xdr:row>19</xdr:row>
      <xdr:rowOff>109538</xdr:rowOff>
    </xdr:to>
    <xdr:sp macro="" textlink="">
      <xdr:nvSpPr>
        <xdr:cNvPr id="53" name="Line 4"/>
        <xdr:cNvSpPr>
          <a:spLocks noChangeShapeType="1"/>
        </xdr:cNvSpPr>
      </xdr:nvSpPr>
      <xdr:spPr bwMode="auto">
        <a:xfrm rot="10800000" flipV="1">
          <a:off x="6015039" y="1707833"/>
          <a:ext cx="0" cy="1554480"/>
        </a:xfrm>
        <a:prstGeom prst="line">
          <a:avLst/>
        </a:prstGeom>
        <a:noFill/>
        <a:ln w="28575">
          <a:solidFill>
            <a:srgbClr val="FF0000"/>
          </a:solidFill>
          <a:round/>
          <a:headEnd/>
          <a:tailEnd/>
        </a:ln>
      </xdr:spPr>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5</xdr:row>
      <xdr:rowOff>28575</xdr:rowOff>
    </xdr:from>
    <xdr:to>
      <xdr:col>10</xdr:col>
      <xdr:colOff>571500</xdr:colOff>
      <xdr:row>26</xdr:row>
      <xdr:rowOff>68143</xdr:rowOff>
    </xdr:to>
    <xdr:pic>
      <xdr:nvPicPr>
        <xdr:cNvPr id="819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838200"/>
          <a:ext cx="6638925" cy="3439993"/>
        </a:xfrm>
        <a:prstGeom prst="rect">
          <a:avLst/>
        </a:prstGeom>
        <a:noFill/>
      </xdr:spPr>
    </xdr:pic>
    <xdr:clientData/>
  </xdr:twoCellAnchor>
  <xdr:twoCellAnchor editAs="oneCell">
    <xdr:from>
      <xdr:col>0</xdr:col>
      <xdr:colOff>28576</xdr:colOff>
      <xdr:row>33</xdr:row>
      <xdr:rowOff>152401</xdr:rowOff>
    </xdr:from>
    <xdr:to>
      <xdr:col>10</xdr:col>
      <xdr:colOff>570479</xdr:colOff>
      <xdr:row>55</xdr:row>
      <xdr:rowOff>28575</xdr:rowOff>
    </xdr:to>
    <xdr:pic>
      <xdr:nvPicPr>
        <xdr:cNvPr id="819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28576" y="5495926"/>
          <a:ext cx="6637903" cy="3438524"/>
        </a:xfrm>
        <a:prstGeom prst="rect">
          <a:avLst/>
        </a:prstGeom>
        <a:noFill/>
      </xdr:spPr>
    </xdr:pic>
    <xdr:clientData/>
  </xdr:twoCellAnchor>
  <xdr:twoCellAnchor>
    <xdr:from>
      <xdr:col>9</xdr:col>
      <xdr:colOff>371475</xdr:colOff>
      <xdr:row>11</xdr:row>
      <xdr:rowOff>31433</xdr:rowOff>
    </xdr:from>
    <xdr:to>
      <xdr:col>9</xdr:col>
      <xdr:colOff>371475</xdr:colOff>
      <xdr:row>20</xdr:row>
      <xdr:rowOff>128588</xdr:rowOff>
    </xdr:to>
    <xdr:sp macro="" textlink="">
      <xdr:nvSpPr>
        <xdr:cNvPr id="45" name="Line 4"/>
        <xdr:cNvSpPr>
          <a:spLocks noChangeShapeType="1"/>
        </xdr:cNvSpPr>
      </xdr:nvSpPr>
      <xdr:spPr bwMode="auto">
        <a:xfrm rot="10800000" flipV="1">
          <a:off x="5857875" y="1812608"/>
          <a:ext cx="0" cy="1554480"/>
        </a:xfrm>
        <a:prstGeom prst="line">
          <a:avLst/>
        </a:prstGeom>
        <a:noFill/>
        <a:ln w="28575">
          <a:solidFill>
            <a:srgbClr val="FF0000"/>
          </a:solidFill>
          <a:round/>
          <a:headEnd/>
          <a:tailEnd/>
        </a:ln>
      </xdr:spPr>
    </xdr:sp>
    <xdr:clientData fLocksWithSheet="0"/>
  </xdr:twoCellAnchor>
  <xdr:twoCellAnchor>
    <xdr:from>
      <xdr:col>4</xdr:col>
      <xdr:colOff>209550</xdr:colOff>
      <xdr:row>19</xdr:row>
      <xdr:rowOff>16193</xdr:rowOff>
    </xdr:from>
    <xdr:to>
      <xdr:col>4</xdr:col>
      <xdr:colOff>209550</xdr:colOff>
      <xdr:row>20</xdr:row>
      <xdr:rowOff>128588</xdr:rowOff>
    </xdr:to>
    <xdr:sp macro="" textlink="">
      <xdr:nvSpPr>
        <xdr:cNvPr id="47" name="Line 6"/>
        <xdr:cNvSpPr>
          <a:spLocks noChangeShapeType="1"/>
        </xdr:cNvSpPr>
      </xdr:nvSpPr>
      <xdr:spPr bwMode="auto">
        <a:xfrm rot="10800000" flipV="1">
          <a:off x="2647950" y="3092768"/>
          <a:ext cx="0" cy="274320"/>
        </a:xfrm>
        <a:prstGeom prst="line">
          <a:avLst/>
        </a:prstGeom>
        <a:noFill/>
        <a:ln w="28575">
          <a:solidFill>
            <a:srgbClr val="339966"/>
          </a:solidFill>
          <a:round/>
          <a:headEnd/>
          <a:tailEnd/>
        </a:ln>
      </xdr:spPr>
    </xdr:sp>
    <xdr:clientData fLocksWithSheet="0"/>
  </xdr:twoCellAnchor>
  <xdr:twoCellAnchor>
    <xdr:from>
      <xdr:col>2</xdr:col>
      <xdr:colOff>452443</xdr:colOff>
      <xdr:row>19</xdr:row>
      <xdr:rowOff>76218</xdr:rowOff>
    </xdr:from>
    <xdr:to>
      <xdr:col>5</xdr:col>
      <xdr:colOff>178123</xdr:colOff>
      <xdr:row>19</xdr:row>
      <xdr:rowOff>76218</xdr:rowOff>
    </xdr:to>
    <xdr:sp macro="" textlink="">
      <xdr:nvSpPr>
        <xdr:cNvPr id="51" name="Line 10"/>
        <xdr:cNvSpPr>
          <a:spLocks noChangeShapeType="1"/>
        </xdr:cNvSpPr>
      </xdr:nvSpPr>
      <xdr:spPr bwMode="auto">
        <a:xfrm>
          <a:off x="1671643" y="3152793"/>
          <a:ext cx="1554480" cy="0"/>
        </a:xfrm>
        <a:prstGeom prst="line">
          <a:avLst/>
        </a:prstGeom>
        <a:noFill/>
        <a:ln w="28575">
          <a:solidFill>
            <a:srgbClr val="339966"/>
          </a:solidFill>
          <a:round/>
          <a:headEnd/>
          <a:tailEnd/>
        </a:ln>
      </xdr:spPr>
    </xdr:sp>
    <xdr:clientData fLocksWithSheet="0"/>
  </xdr:twoCellAnchor>
  <xdr:twoCellAnchor>
    <xdr:from>
      <xdr:col>2</xdr:col>
      <xdr:colOff>438151</xdr:colOff>
      <xdr:row>46</xdr:row>
      <xdr:rowOff>100011</xdr:rowOff>
    </xdr:from>
    <xdr:to>
      <xdr:col>5</xdr:col>
      <xdr:colOff>304801</xdr:colOff>
      <xdr:row>46</xdr:row>
      <xdr:rowOff>100011</xdr:rowOff>
    </xdr:to>
    <xdr:sp macro="" textlink="">
      <xdr:nvSpPr>
        <xdr:cNvPr id="52" name="Line 11"/>
        <xdr:cNvSpPr>
          <a:spLocks noChangeShapeType="1"/>
        </xdr:cNvSpPr>
      </xdr:nvSpPr>
      <xdr:spPr bwMode="auto">
        <a:xfrm>
          <a:off x="1657351" y="7548561"/>
          <a:ext cx="1695450" cy="0"/>
        </a:xfrm>
        <a:prstGeom prst="line">
          <a:avLst/>
        </a:prstGeom>
        <a:noFill/>
        <a:ln w="28575">
          <a:solidFill>
            <a:srgbClr val="339966"/>
          </a:solidFill>
          <a:round/>
          <a:headEnd/>
          <a:tailEnd/>
        </a:ln>
      </xdr:spPr>
    </xdr:sp>
    <xdr:clientData fLocksWithSheet="0"/>
  </xdr:twoCellAnchor>
  <xdr:twoCellAnchor>
    <xdr:from>
      <xdr:col>5</xdr:col>
      <xdr:colOff>290512</xdr:colOff>
      <xdr:row>46</xdr:row>
      <xdr:rowOff>95250</xdr:rowOff>
    </xdr:from>
    <xdr:to>
      <xdr:col>5</xdr:col>
      <xdr:colOff>290512</xdr:colOff>
      <xdr:row>49</xdr:row>
      <xdr:rowOff>66675</xdr:rowOff>
    </xdr:to>
    <xdr:sp macro="" textlink="">
      <xdr:nvSpPr>
        <xdr:cNvPr id="53" name="Line 12"/>
        <xdr:cNvSpPr>
          <a:spLocks noChangeShapeType="1"/>
        </xdr:cNvSpPr>
      </xdr:nvSpPr>
      <xdr:spPr bwMode="auto">
        <a:xfrm rot="10800000" flipV="1">
          <a:off x="3338512" y="7543800"/>
          <a:ext cx="0" cy="457200"/>
        </a:xfrm>
        <a:prstGeom prst="line">
          <a:avLst/>
        </a:prstGeom>
        <a:noFill/>
        <a:ln w="28575">
          <a:solidFill>
            <a:srgbClr val="339966"/>
          </a:solidFill>
          <a:round/>
          <a:headEnd/>
          <a:tailEnd/>
        </a:ln>
      </xdr:spPr>
    </xdr:sp>
    <xdr:clientData fLocksWithSheet="0"/>
  </xdr:twoCellAnchor>
  <xdr:twoCellAnchor>
    <xdr:from>
      <xdr:col>2</xdr:col>
      <xdr:colOff>452441</xdr:colOff>
      <xdr:row>10</xdr:row>
      <xdr:rowOff>66675</xdr:rowOff>
    </xdr:from>
    <xdr:to>
      <xdr:col>9</xdr:col>
      <xdr:colOff>391481</xdr:colOff>
      <xdr:row>10</xdr:row>
      <xdr:rowOff>66675</xdr:rowOff>
    </xdr:to>
    <xdr:sp macro="" textlink="">
      <xdr:nvSpPr>
        <xdr:cNvPr id="55" name="Line 8"/>
        <xdr:cNvSpPr>
          <a:spLocks noChangeShapeType="1"/>
        </xdr:cNvSpPr>
      </xdr:nvSpPr>
      <xdr:spPr bwMode="auto">
        <a:xfrm>
          <a:off x="1671641" y="1685925"/>
          <a:ext cx="4206240" cy="0"/>
        </a:xfrm>
        <a:prstGeom prst="line">
          <a:avLst/>
        </a:prstGeom>
        <a:noFill/>
        <a:ln w="28575">
          <a:solidFill>
            <a:srgbClr val="FF0000"/>
          </a:solidFill>
          <a:round/>
          <a:headEnd/>
          <a:tailEnd/>
        </a:ln>
      </xdr:spPr>
    </xdr:sp>
    <xdr:clientData fLocksWithSheet="0"/>
  </xdr:twoCellAnchor>
  <xdr:twoCellAnchor>
    <xdr:from>
      <xdr:col>2</xdr:col>
      <xdr:colOff>452438</xdr:colOff>
      <xdr:row>13</xdr:row>
      <xdr:rowOff>76200</xdr:rowOff>
    </xdr:from>
    <xdr:to>
      <xdr:col>6</xdr:col>
      <xdr:colOff>117158</xdr:colOff>
      <xdr:row>13</xdr:row>
      <xdr:rowOff>76200</xdr:rowOff>
    </xdr:to>
    <xdr:sp macro="" textlink="">
      <xdr:nvSpPr>
        <xdr:cNvPr id="62" name="Line 8"/>
        <xdr:cNvSpPr>
          <a:spLocks noChangeShapeType="1"/>
        </xdr:cNvSpPr>
      </xdr:nvSpPr>
      <xdr:spPr bwMode="auto">
        <a:xfrm>
          <a:off x="1671638" y="2181225"/>
          <a:ext cx="2103120" cy="0"/>
        </a:xfrm>
        <a:prstGeom prst="line">
          <a:avLst/>
        </a:prstGeom>
        <a:noFill/>
        <a:ln w="28575">
          <a:solidFill>
            <a:srgbClr val="0066FF"/>
          </a:solidFill>
          <a:round/>
          <a:headEnd/>
          <a:tailEnd/>
        </a:ln>
      </xdr:spPr>
    </xdr:sp>
    <xdr:clientData fLocksWithSheet="0"/>
  </xdr:twoCellAnchor>
  <xdr:twoCellAnchor>
    <xdr:from>
      <xdr:col>5</xdr:col>
      <xdr:colOff>476250</xdr:colOff>
      <xdr:row>14</xdr:row>
      <xdr:rowOff>2859</xdr:rowOff>
    </xdr:from>
    <xdr:to>
      <xdr:col>5</xdr:col>
      <xdr:colOff>476250</xdr:colOff>
      <xdr:row>20</xdr:row>
      <xdr:rowOff>128589</xdr:rowOff>
    </xdr:to>
    <xdr:sp macro="" textlink="">
      <xdr:nvSpPr>
        <xdr:cNvPr id="63" name="Line 7"/>
        <xdr:cNvSpPr>
          <a:spLocks noChangeShapeType="1"/>
        </xdr:cNvSpPr>
      </xdr:nvSpPr>
      <xdr:spPr bwMode="auto">
        <a:xfrm rot="10800000" flipV="1">
          <a:off x="3524250" y="2269809"/>
          <a:ext cx="0" cy="1097280"/>
        </a:xfrm>
        <a:prstGeom prst="line">
          <a:avLst/>
        </a:prstGeom>
        <a:noFill/>
        <a:ln w="28575">
          <a:solidFill>
            <a:srgbClr val="0066FF"/>
          </a:solidFill>
          <a:round/>
          <a:headEnd/>
          <a:tailEnd/>
        </a:ln>
      </xdr:spPr>
    </xdr:sp>
    <xdr:clientData fLocksWithSheet="0"/>
  </xdr:twoCellAnchor>
  <xdr:twoCellAnchor>
    <xdr:from>
      <xdr:col>2</xdr:col>
      <xdr:colOff>438151</xdr:colOff>
      <xdr:row>45</xdr:row>
      <xdr:rowOff>85724</xdr:rowOff>
    </xdr:from>
    <xdr:to>
      <xdr:col>7</xdr:col>
      <xdr:colOff>95251</xdr:colOff>
      <xdr:row>45</xdr:row>
      <xdr:rowOff>85724</xdr:rowOff>
    </xdr:to>
    <xdr:sp macro="" textlink="">
      <xdr:nvSpPr>
        <xdr:cNvPr id="70" name="Line 8"/>
        <xdr:cNvSpPr>
          <a:spLocks noChangeShapeType="1"/>
        </xdr:cNvSpPr>
      </xdr:nvSpPr>
      <xdr:spPr bwMode="auto">
        <a:xfrm>
          <a:off x="1657351" y="7372349"/>
          <a:ext cx="2705100" cy="0"/>
        </a:xfrm>
        <a:prstGeom prst="line">
          <a:avLst/>
        </a:prstGeom>
        <a:noFill/>
        <a:ln w="28575">
          <a:solidFill>
            <a:srgbClr val="0066FF"/>
          </a:solidFill>
          <a:round/>
          <a:headEnd/>
          <a:tailEnd/>
        </a:ln>
      </xdr:spPr>
    </xdr:sp>
    <xdr:clientData fLocksWithSheet="0"/>
  </xdr:twoCellAnchor>
  <xdr:twoCellAnchor>
    <xdr:from>
      <xdr:col>7</xdr:col>
      <xdr:colOff>85722</xdr:colOff>
      <xdr:row>45</xdr:row>
      <xdr:rowOff>74294</xdr:rowOff>
    </xdr:from>
    <xdr:to>
      <xdr:col>7</xdr:col>
      <xdr:colOff>85722</xdr:colOff>
      <xdr:row>49</xdr:row>
      <xdr:rowOff>66674</xdr:rowOff>
    </xdr:to>
    <xdr:sp macro="" textlink="">
      <xdr:nvSpPr>
        <xdr:cNvPr id="71" name="Line 7"/>
        <xdr:cNvSpPr>
          <a:spLocks noChangeShapeType="1"/>
        </xdr:cNvSpPr>
      </xdr:nvSpPr>
      <xdr:spPr bwMode="auto">
        <a:xfrm rot="10800000" flipV="1">
          <a:off x="4352922" y="7360919"/>
          <a:ext cx="0" cy="640080"/>
        </a:xfrm>
        <a:prstGeom prst="line">
          <a:avLst/>
        </a:prstGeom>
        <a:noFill/>
        <a:ln w="28575">
          <a:solidFill>
            <a:srgbClr val="0066FF"/>
          </a:solidFill>
          <a:round/>
          <a:headEnd/>
          <a:tailEnd/>
        </a:ln>
      </xdr:spPr>
    </xdr:sp>
    <xdr:clientData fLocksWithSheet="0"/>
  </xdr:twoCellAnchor>
  <xdr:twoCellAnchor>
    <xdr:from>
      <xdr:col>2</xdr:col>
      <xdr:colOff>438149</xdr:colOff>
      <xdr:row>43</xdr:row>
      <xdr:rowOff>133349</xdr:rowOff>
    </xdr:from>
    <xdr:to>
      <xdr:col>9</xdr:col>
      <xdr:colOff>102869</xdr:colOff>
      <xdr:row>43</xdr:row>
      <xdr:rowOff>133349</xdr:rowOff>
    </xdr:to>
    <xdr:sp macro="" textlink="">
      <xdr:nvSpPr>
        <xdr:cNvPr id="72" name="Line 3"/>
        <xdr:cNvSpPr>
          <a:spLocks noChangeShapeType="1"/>
        </xdr:cNvSpPr>
      </xdr:nvSpPr>
      <xdr:spPr bwMode="auto">
        <a:xfrm>
          <a:off x="1657349" y="7096124"/>
          <a:ext cx="3931920" cy="0"/>
        </a:xfrm>
        <a:prstGeom prst="line">
          <a:avLst/>
        </a:prstGeom>
        <a:noFill/>
        <a:ln w="28575">
          <a:solidFill>
            <a:srgbClr val="FF0000"/>
          </a:solidFill>
          <a:round/>
          <a:headEnd/>
          <a:tailEnd/>
        </a:ln>
      </xdr:spPr>
    </xdr:sp>
    <xdr:clientData fLocksWithSheet="0"/>
  </xdr:twoCellAnchor>
  <xdr:twoCellAnchor>
    <xdr:from>
      <xdr:col>9</xdr:col>
      <xdr:colOff>104774</xdr:colOff>
      <xdr:row>43</xdr:row>
      <xdr:rowOff>128587</xdr:rowOff>
    </xdr:from>
    <xdr:to>
      <xdr:col>9</xdr:col>
      <xdr:colOff>104774</xdr:colOff>
      <xdr:row>49</xdr:row>
      <xdr:rowOff>71437</xdr:rowOff>
    </xdr:to>
    <xdr:sp macro="" textlink="">
      <xdr:nvSpPr>
        <xdr:cNvPr id="73" name="Line 4"/>
        <xdr:cNvSpPr>
          <a:spLocks noChangeShapeType="1"/>
        </xdr:cNvSpPr>
      </xdr:nvSpPr>
      <xdr:spPr bwMode="auto">
        <a:xfrm rot="10800000" flipV="1">
          <a:off x="5591174" y="7091362"/>
          <a:ext cx="0" cy="914400"/>
        </a:xfrm>
        <a:prstGeom prst="line">
          <a:avLst/>
        </a:prstGeom>
        <a:noFill/>
        <a:ln w="28575">
          <a:solidFill>
            <a:srgbClr val="FF0000"/>
          </a:solidFill>
          <a:round/>
          <a:headEnd/>
          <a:tailEnd/>
        </a:ln>
      </xdr:spPr>
    </xdr:sp>
    <xdr:clientData fLocksWithSheet="0"/>
  </xdr:twoCellAnchor>
  <xdr:twoCellAnchor>
    <xdr:from>
      <xdr:col>2</xdr:col>
      <xdr:colOff>452441</xdr:colOff>
      <xdr:row>10</xdr:row>
      <xdr:rowOff>123825</xdr:rowOff>
    </xdr:from>
    <xdr:to>
      <xdr:col>9</xdr:col>
      <xdr:colOff>391481</xdr:colOff>
      <xdr:row>10</xdr:row>
      <xdr:rowOff>123825</xdr:rowOff>
    </xdr:to>
    <xdr:sp macro="" textlink="">
      <xdr:nvSpPr>
        <xdr:cNvPr id="34" name="Line 8"/>
        <xdr:cNvSpPr>
          <a:spLocks noChangeShapeType="1"/>
        </xdr:cNvSpPr>
      </xdr:nvSpPr>
      <xdr:spPr bwMode="auto">
        <a:xfrm>
          <a:off x="1671641" y="1743075"/>
          <a:ext cx="4206240" cy="0"/>
        </a:xfrm>
        <a:prstGeom prst="line">
          <a:avLst/>
        </a:prstGeom>
        <a:noFill/>
        <a:ln w="28575">
          <a:solidFill>
            <a:srgbClr val="FF0000"/>
          </a:solidFill>
          <a:round/>
          <a:headEnd/>
          <a:tailEnd/>
        </a:ln>
      </xdr:spPr>
    </xdr:sp>
    <xdr:clientData fLocksWithSheet="0"/>
  </xdr:twoCellAnchor>
  <xdr:twoCellAnchor>
    <xdr:from>
      <xdr:col>2</xdr:col>
      <xdr:colOff>452441</xdr:colOff>
      <xdr:row>11</xdr:row>
      <xdr:rowOff>23813</xdr:rowOff>
    </xdr:from>
    <xdr:to>
      <xdr:col>9</xdr:col>
      <xdr:colOff>391481</xdr:colOff>
      <xdr:row>11</xdr:row>
      <xdr:rowOff>23813</xdr:rowOff>
    </xdr:to>
    <xdr:sp macro="" textlink="">
      <xdr:nvSpPr>
        <xdr:cNvPr id="35" name="Line 8"/>
        <xdr:cNvSpPr>
          <a:spLocks noChangeShapeType="1"/>
        </xdr:cNvSpPr>
      </xdr:nvSpPr>
      <xdr:spPr bwMode="auto">
        <a:xfrm>
          <a:off x="1671641" y="1804988"/>
          <a:ext cx="4206240" cy="0"/>
        </a:xfrm>
        <a:prstGeom prst="line">
          <a:avLst/>
        </a:prstGeom>
        <a:noFill/>
        <a:ln w="28575">
          <a:solidFill>
            <a:srgbClr val="FF0000"/>
          </a:solidFill>
          <a:round/>
          <a:headEnd/>
          <a:tailEnd/>
        </a:ln>
      </xdr:spPr>
    </xdr:sp>
    <xdr:clientData fLocksWithSheet="0"/>
  </xdr:twoCellAnchor>
  <xdr:twoCellAnchor>
    <xdr:from>
      <xdr:col>2</xdr:col>
      <xdr:colOff>452441</xdr:colOff>
      <xdr:row>11</xdr:row>
      <xdr:rowOff>90488</xdr:rowOff>
    </xdr:from>
    <xdr:to>
      <xdr:col>9</xdr:col>
      <xdr:colOff>391481</xdr:colOff>
      <xdr:row>11</xdr:row>
      <xdr:rowOff>90488</xdr:rowOff>
    </xdr:to>
    <xdr:sp macro="" textlink="">
      <xdr:nvSpPr>
        <xdr:cNvPr id="36" name="Line 8"/>
        <xdr:cNvSpPr>
          <a:spLocks noChangeShapeType="1"/>
        </xdr:cNvSpPr>
      </xdr:nvSpPr>
      <xdr:spPr bwMode="auto">
        <a:xfrm>
          <a:off x="1671641" y="1871663"/>
          <a:ext cx="4206240" cy="0"/>
        </a:xfrm>
        <a:prstGeom prst="line">
          <a:avLst/>
        </a:prstGeom>
        <a:noFill/>
        <a:ln w="28575">
          <a:solidFill>
            <a:srgbClr val="FF0000"/>
          </a:solidFill>
          <a:round/>
          <a:headEnd/>
          <a:tailEnd/>
        </a:ln>
      </xdr:spPr>
    </xdr:sp>
    <xdr:clientData fLocksWithSheet="0"/>
  </xdr:twoCellAnchor>
  <xdr:twoCellAnchor>
    <xdr:from>
      <xdr:col>2</xdr:col>
      <xdr:colOff>452438</xdr:colOff>
      <xdr:row>13</xdr:row>
      <xdr:rowOff>123825</xdr:rowOff>
    </xdr:from>
    <xdr:to>
      <xdr:col>6</xdr:col>
      <xdr:colOff>117158</xdr:colOff>
      <xdr:row>13</xdr:row>
      <xdr:rowOff>123825</xdr:rowOff>
    </xdr:to>
    <xdr:sp macro="" textlink="">
      <xdr:nvSpPr>
        <xdr:cNvPr id="37" name="Line 8"/>
        <xdr:cNvSpPr>
          <a:spLocks noChangeShapeType="1"/>
        </xdr:cNvSpPr>
      </xdr:nvSpPr>
      <xdr:spPr bwMode="auto">
        <a:xfrm>
          <a:off x="1671638" y="2228850"/>
          <a:ext cx="2103120" cy="0"/>
        </a:xfrm>
        <a:prstGeom prst="line">
          <a:avLst/>
        </a:prstGeom>
        <a:noFill/>
        <a:ln w="28575">
          <a:solidFill>
            <a:srgbClr val="0066FF"/>
          </a:solidFill>
          <a:round/>
          <a:headEnd/>
          <a:tailEnd/>
        </a:ln>
      </xdr:spPr>
    </xdr:sp>
    <xdr:clientData fLocksWithSheet="0"/>
  </xdr:twoCellAnchor>
  <xdr:twoCellAnchor>
    <xdr:from>
      <xdr:col>2</xdr:col>
      <xdr:colOff>452438</xdr:colOff>
      <xdr:row>14</xdr:row>
      <xdr:rowOff>19050</xdr:rowOff>
    </xdr:from>
    <xdr:to>
      <xdr:col>6</xdr:col>
      <xdr:colOff>117158</xdr:colOff>
      <xdr:row>14</xdr:row>
      <xdr:rowOff>19050</xdr:rowOff>
    </xdr:to>
    <xdr:sp macro="" textlink="">
      <xdr:nvSpPr>
        <xdr:cNvPr id="38" name="Line 8"/>
        <xdr:cNvSpPr>
          <a:spLocks noChangeShapeType="1"/>
        </xdr:cNvSpPr>
      </xdr:nvSpPr>
      <xdr:spPr bwMode="auto">
        <a:xfrm>
          <a:off x="1671638" y="2286000"/>
          <a:ext cx="2103120" cy="0"/>
        </a:xfrm>
        <a:prstGeom prst="line">
          <a:avLst/>
        </a:prstGeom>
        <a:noFill/>
        <a:ln w="28575">
          <a:solidFill>
            <a:srgbClr val="0066FF"/>
          </a:solidFill>
          <a:round/>
          <a:headEnd/>
          <a:tailEnd/>
        </a:ln>
      </xdr:spPr>
    </xdr:sp>
    <xdr:clientData fLocksWithSheet="0"/>
  </xdr:twoCellAnchor>
  <xdr:twoCellAnchor>
    <xdr:from>
      <xdr:col>2</xdr:col>
      <xdr:colOff>452438</xdr:colOff>
      <xdr:row>14</xdr:row>
      <xdr:rowOff>76200</xdr:rowOff>
    </xdr:from>
    <xdr:to>
      <xdr:col>6</xdr:col>
      <xdr:colOff>117158</xdr:colOff>
      <xdr:row>14</xdr:row>
      <xdr:rowOff>76200</xdr:rowOff>
    </xdr:to>
    <xdr:sp macro="" textlink="">
      <xdr:nvSpPr>
        <xdr:cNvPr id="39" name="Line 8"/>
        <xdr:cNvSpPr>
          <a:spLocks noChangeShapeType="1"/>
        </xdr:cNvSpPr>
      </xdr:nvSpPr>
      <xdr:spPr bwMode="auto">
        <a:xfrm>
          <a:off x="1671638" y="2343150"/>
          <a:ext cx="2103120" cy="0"/>
        </a:xfrm>
        <a:prstGeom prst="line">
          <a:avLst/>
        </a:prstGeom>
        <a:noFill/>
        <a:ln w="28575">
          <a:solidFill>
            <a:srgbClr val="0066FF"/>
          </a:solidFill>
          <a:round/>
          <a:headEnd/>
          <a:tailEnd/>
        </a:ln>
      </xdr:spPr>
    </xdr:sp>
    <xdr:clientData fLocksWithSheet="0"/>
  </xdr:twoCellAnchor>
  <xdr:twoCellAnchor>
    <xdr:from>
      <xdr:col>5</xdr:col>
      <xdr:colOff>538162</xdr:colOff>
      <xdr:row>14</xdr:row>
      <xdr:rowOff>2859</xdr:rowOff>
    </xdr:from>
    <xdr:to>
      <xdr:col>5</xdr:col>
      <xdr:colOff>538162</xdr:colOff>
      <xdr:row>20</xdr:row>
      <xdr:rowOff>128589</xdr:rowOff>
    </xdr:to>
    <xdr:sp macro="" textlink="">
      <xdr:nvSpPr>
        <xdr:cNvPr id="40" name="Line 7"/>
        <xdr:cNvSpPr>
          <a:spLocks noChangeShapeType="1"/>
        </xdr:cNvSpPr>
      </xdr:nvSpPr>
      <xdr:spPr bwMode="auto">
        <a:xfrm rot="10800000" flipV="1">
          <a:off x="3586162" y="2269809"/>
          <a:ext cx="0" cy="1097280"/>
        </a:xfrm>
        <a:prstGeom prst="line">
          <a:avLst/>
        </a:prstGeom>
        <a:noFill/>
        <a:ln w="28575">
          <a:solidFill>
            <a:srgbClr val="0066FF"/>
          </a:solidFill>
          <a:round/>
          <a:headEnd/>
          <a:tailEnd/>
        </a:ln>
      </xdr:spPr>
    </xdr:sp>
    <xdr:clientData fLocksWithSheet="0"/>
  </xdr:twoCellAnchor>
  <xdr:twoCellAnchor>
    <xdr:from>
      <xdr:col>6</xdr:col>
      <xdr:colOff>4762</xdr:colOff>
      <xdr:row>14</xdr:row>
      <xdr:rowOff>2859</xdr:rowOff>
    </xdr:from>
    <xdr:to>
      <xdr:col>6</xdr:col>
      <xdr:colOff>4762</xdr:colOff>
      <xdr:row>20</xdr:row>
      <xdr:rowOff>128589</xdr:rowOff>
    </xdr:to>
    <xdr:sp macro="" textlink="">
      <xdr:nvSpPr>
        <xdr:cNvPr id="41" name="Line 7"/>
        <xdr:cNvSpPr>
          <a:spLocks noChangeShapeType="1"/>
        </xdr:cNvSpPr>
      </xdr:nvSpPr>
      <xdr:spPr bwMode="auto">
        <a:xfrm rot="10800000" flipV="1">
          <a:off x="3662362" y="2269809"/>
          <a:ext cx="0" cy="1097280"/>
        </a:xfrm>
        <a:prstGeom prst="line">
          <a:avLst/>
        </a:prstGeom>
        <a:noFill/>
        <a:ln w="28575">
          <a:solidFill>
            <a:srgbClr val="0066FF"/>
          </a:solidFill>
          <a:round/>
          <a:headEnd/>
          <a:tailEnd/>
        </a:ln>
      </xdr:spPr>
    </xdr:sp>
    <xdr:clientData fLocksWithSheet="0"/>
  </xdr:twoCellAnchor>
  <xdr:twoCellAnchor>
    <xdr:from>
      <xdr:col>6</xdr:col>
      <xdr:colOff>66675</xdr:colOff>
      <xdr:row>14</xdr:row>
      <xdr:rowOff>2859</xdr:rowOff>
    </xdr:from>
    <xdr:to>
      <xdr:col>6</xdr:col>
      <xdr:colOff>66675</xdr:colOff>
      <xdr:row>20</xdr:row>
      <xdr:rowOff>128589</xdr:rowOff>
    </xdr:to>
    <xdr:sp macro="" textlink="">
      <xdr:nvSpPr>
        <xdr:cNvPr id="42" name="Line 7"/>
        <xdr:cNvSpPr>
          <a:spLocks noChangeShapeType="1"/>
        </xdr:cNvSpPr>
      </xdr:nvSpPr>
      <xdr:spPr bwMode="auto">
        <a:xfrm rot="10800000" flipV="1">
          <a:off x="3724275" y="2269809"/>
          <a:ext cx="0" cy="1097280"/>
        </a:xfrm>
        <a:prstGeom prst="line">
          <a:avLst/>
        </a:prstGeom>
        <a:noFill/>
        <a:ln w="28575">
          <a:solidFill>
            <a:srgbClr val="0066FF"/>
          </a:solidFill>
          <a:round/>
          <a:headEnd/>
          <a:tailEnd/>
        </a:ln>
      </xdr:spPr>
    </xdr:sp>
    <xdr:clientData fLocksWithSheet="0"/>
  </xdr:twoCellAnchor>
  <xdr:twoCellAnchor>
    <xdr:from>
      <xdr:col>4</xdr:col>
      <xdr:colOff>271462</xdr:colOff>
      <xdr:row>19</xdr:row>
      <xdr:rowOff>16193</xdr:rowOff>
    </xdr:from>
    <xdr:to>
      <xdr:col>4</xdr:col>
      <xdr:colOff>271462</xdr:colOff>
      <xdr:row>20</xdr:row>
      <xdr:rowOff>128588</xdr:rowOff>
    </xdr:to>
    <xdr:sp macro="" textlink="">
      <xdr:nvSpPr>
        <xdr:cNvPr id="43" name="Line 6"/>
        <xdr:cNvSpPr>
          <a:spLocks noChangeShapeType="1"/>
        </xdr:cNvSpPr>
      </xdr:nvSpPr>
      <xdr:spPr bwMode="auto">
        <a:xfrm rot="10800000" flipV="1">
          <a:off x="2709862" y="3092768"/>
          <a:ext cx="0" cy="274320"/>
        </a:xfrm>
        <a:prstGeom prst="line">
          <a:avLst/>
        </a:prstGeom>
        <a:noFill/>
        <a:ln w="28575">
          <a:solidFill>
            <a:srgbClr val="339966"/>
          </a:solidFill>
          <a:round/>
          <a:headEnd/>
          <a:tailEnd/>
        </a:ln>
      </xdr:spPr>
    </xdr:sp>
    <xdr:clientData fLocksWithSheet="0"/>
  </xdr:twoCellAnchor>
  <xdr:twoCellAnchor>
    <xdr:from>
      <xdr:col>4</xdr:col>
      <xdr:colOff>338137</xdr:colOff>
      <xdr:row>19</xdr:row>
      <xdr:rowOff>16193</xdr:rowOff>
    </xdr:from>
    <xdr:to>
      <xdr:col>4</xdr:col>
      <xdr:colOff>338137</xdr:colOff>
      <xdr:row>20</xdr:row>
      <xdr:rowOff>128588</xdr:rowOff>
    </xdr:to>
    <xdr:sp macro="" textlink="">
      <xdr:nvSpPr>
        <xdr:cNvPr id="74" name="Line 6"/>
        <xdr:cNvSpPr>
          <a:spLocks noChangeShapeType="1"/>
        </xdr:cNvSpPr>
      </xdr:nvSpPr>
      <xdr:spPr bwMode="auto">
        <a:xfrm rot="10800000" flipV="1">
          <a:off x="2776537" y="3092768"/>
          <a:ext cx="0" cy="274320"/>
        </a:xfrm>
        <a:prstGeom prst="line">
          <a:avLst/>
        </a:prstGeom>
        <a:noFill/>
        <a:ln w="28575">
          <a:solidFill>
            <a:srgbClr val="339966"/>
          </a:solidFill>
          <a:round/>
          <a:headEnd/>
          <a:tailEnd/>
        </a:ln>
      </xdr:spPr>
    </xdr:sp>
    <xdr:clientData fLocksWithSheet="0"/>
  </xdr:twoCellAnchor>
  <xdr:twoCellAnchor>
    <xdr:from>
      <xdr:col>4</xdr:col>
      <xdr:colOff>400050</xdr:colOff>
      <xdr:row>19</xdr:row>
      <xdr:rowOff>16193</xdr:rowOff>
    </xdr:from>
    <xdr:to>
      <xdr:col>4</xdr:col>
      <xdr:colOff>400050</xdr:colOff>
      <xdr:row>20</xdr:row>
      <xdr:rowOff>128588</xdr:rowOff>
    </xdr:to>
    <xdr:sp macro="" textlink="">
      <xdr:nvSpPr>
        <xdr:cNvPr id="75" name="Line 6"/>
        <xdr:cNvSpPr>
          <a:spLocks noChangeShapeType="1"/>
        </xdr:cNvSpPr>
      </xdr:nvSpPr>
      <xdr:spPr bwMode="auto">
        <a:xfrm rot="10800000" flipV="1">
          <a:off x="2838450" y="3092768"/>
          <a:ext cx="0" cy="274320"/>
        </a:xfrm>
        <a:prstGeom prst="line">
          <a:avLst/>
        </a:prstGeom>
        <a:noFill/>
        <a:ln w="28575">
          <a:solidFill>
            <a:srgbClr val="339966"/>
          </a:solidFill>
          <a:round/>
          <a:headEnd/>
          <a:tailEnd/>
        </a:ln>
      </xdr:spPr>
    </xdr:sp>
    <xdr:clientData fLocksWithSheet="0"/>
  </xdr:twoCellAnchor>
  <xdr:twoCellAnchor>
    <xdr:from>
      <xdr:col>2</xdr:col>
      <xdr:colOff>447680</xdr:colOff>
      <xdr:row>19</xdr:row>
      <xdr:rowOff>19068</xdr:rowOff>
    </xdr:from>
    <xdr:to>
      <xdr:col>5</xdr:col>
      <xdr:colOff>173360</xdr:colOff>
      <xdr:row>19</xdr:row>
      <xdr:rowOff>19068</xdr:rowOff>
    </xdr:to>
    <xdr:sp macro="" textlink="">
      <xdr:nvSpPr>
        <xdr:cNvPr id="76" name="Line 10"/>
        <xdr:cNvSpPr>
          <a:spLocks noChangeShapeType="1"/>
        </xdr:cNvSpPr>
      </xdr:nvSpPr>
      <xdr:spPr bwMode="auto">
        <a:xfrm>
          <a:off x="1666880" y="3095643"/>
          <a:ext cx="1554480" cy="0"/>
        </a:xfrm>
        <a:prstGeom prst="line">
          <a:avLst/>
        </a:prstGeom>
        <a:noFill/>
        <a:ln w="28575">
          <a:solidFill>
            <a:srgbClr val="339966"/>
          </a:solidFill>
          <a:round/>
          <a:headEnd/>
          <a:tailEnd/>
        </a:ln>
      </xdr:spPr>
    </xdr:sp>
    <xdr:clientData fLocksWithSheet="0"/>
  </xdr:twoCellAnchor>
  <xdr:twoCellAnchor>
    <xdr:from>
      <xdr:col>2</xdr:col>
      <xdr:colOff>447680</xdr:colOff>
      <xdr:row>18</xdr:row>
      <xdr:rowOff>123843</xdr:rowOff>
    </xdr:from>
    <xdr:to>
      <xdr:col>5</xdr:col>
      <xdr:colOff>173360</xdr:colOff>
      <xdr:row>18</xdr:row>
      <xdr:rowOff>123843</xdr:rowOff>
    </xdr:to>
    <xdr:sp macro="" textlink="">
      <xdr:nvSpPr>
        <xdr:cNvPr id="77" name="Line 10"/>
        <xdr:cNvSpPr>
          <a:spLocks noChangeShapeType="1"/>
        </xdr:cNvSpPr>
      </xdr:nvSpPr>
      <xdr:spPr bwMode="auto">
        <a:xfrm>
          <a:off x="1666880" y="3038493"/>
          <a:ext cx="1554480" cy="0"/>
        </a:xfrm>
        <a:prstGeom prst="line">
          <a:avLst/>
        </a:prstGeom>
        <a:noFill/>
        <a:ln w="28575">
          <a:solidFill>
            <a:srgbClr val="339966"/>
          </a:solidFill>
          <a:round/>
          <a:headEnd/>
          <a:tailEnd/>
        </a:ln>
      </xdr:spPr>
    </xdr:sp>
    <xdr:clientData fLocksWithSheet="0"/>
  </xdr:twoCellAnchor>
  <xdr:twoCellAnchor>
    <xdr:from>
      <xdr:col>2</xdr:col>
      <xdr:colOff>447680</xdr:colOff>
      <xdr:row>18</xdr:row>
      <xdr:rowOff>66693</xdr:rowOff>
    </xdr:from>
    <xdr:to>
      <xdr:col>5</xdr:col>
      <xdr:colOff>173360</xdr:colOff>
      <xdr:row>18</xdr:row>
      <xdr:rowOff>66693</xdr:rowOff>
    </xdr:to>
    <xdr:sp macro="" textlink="">
      <xdr:nvSpPr>
        <xdr:cNvPr id="78" name="Line 10"/>
        <xdr:cNvSpPr>
          <a:spLocks noChangeShapeType="1"/>
        </xdr:cNvSpPr>
      </xdr:nvSpPr>
      <xdr:spPr bwMode="auto">
        <a:xfrm>
          <a:off x="1666880" y="2981343"/>
          <a:ext cx="1554480" cy="0"/>
        </a:xfrm>
        <a:prstGeom prst="line">
          <a:avLst/>
        </a:prstGeom>
        <a:noFill/>
        <a:ln w="28575">
          <a:solidFill>
            <a:srgbClr val="339966"/>
          </a:solidFill>
          <a:round/>
          <a:headEnd/>
          <a:tailEnd/>
        </a:ln>
      </xdr:spPr>
    </xdr:sp>
    <xdr:clientData fLocksWithSheet="0"/>
  </xdr:twoCellAnchor>
  <xdr:twoCellAnchor>
    <xdr:from>
      <xdr:col>9</xdr:col>
      <xdr:colOff>433388</xdr:colOff>
      <xdr:row>11</xdr:row>
      <xdr:rowOff>31433</xdr:rowOff>
    </xdr:from>
    <xdr:to>
      <xdr:col>9</xdr:col>
      <xdr:colOff>433388</xdr:colOff>
      <xdr:row>20</xdr:row>
      <xdr:rowOff>128588</xdr:rowOff>
    </xdr:to>
    <xdr:sp macro="" textlink="">
      <xdr:nvSpPr>
        <xdr:cNvPr id="79" name="Line 4"/>
        <xdr:cNvSpPr>
          <a:spLocks noChangeShapeType="1"/>
        </xdr:cNvSpPr>
      </xdr:nvSpPr>
      <xdr:spPr bwMode="auto">
        <a:xfrm rot="10800000" flipV="1">
          <a:off x="5919788" y="1812608"/>
          <a:ext cx="0" cy="1554480"/>
        </a:xfrm>
        <a:prstGeom prst="line">
          <a:avLst/>
        </a:prstGeom>
        <a:noFill/>
        <a:ln w="28575">
          <a:solidFill>
            <a:srgbClr val="FF0000"/>
          </a:solidFill>
          <a:round/>
          <a:headEnd/>
          <a:tailEnd/>
        </a:ln>
      </xdr:spPr>
    </xdr:sp>
    <xdr:clientData fLocksWithSheet="0"/>
  </xdr:twoCellAnchor>
  <xdr:twoCellAnchor>
    <xdr:from>
      <xdr:col>9</xdr:col>
      <xdr:colOff>495300</xdr:colOff>
      <xdr:row>11</xdr:row>
      <xdr:rowOff>31433</xdr:rowOff>
    </xdr:from>
    <xdr:to>
      <xdr:col>9</xdr:col>
      <xdr:colOff>495300</xdr:colOff>
      <xdr:row>20</xdr:row>
      <xdr:rowOff>128588</xdr:rowOff>
    </xdr:to>
    <xdr:sp macro="" textlink="">
      <xdr:nvSpPr>
        <xdr:cNvPr id="80" name="Line 4"/>
        <xdr:cNvSpPr>
          <a:spLocks noChangeShapeType="1"/>
        </xdr:cNvSpPr>
      </xdr:nvSpPr>
      <xdr:spPr bwMode="auto">
        <a:xfrm rot="10800000" flipV="1">
          <a:off x="5981700" y="1812608"/>
          <a:ext cx="0" cy="1554480"/>
        </a:xfrm>
        <a:prstGeom prst="line">
          <a:avLst/>
        </a:prstGeom>
        <a:noFill/>
        <a:ln w="28575">
          <a:solidFill>
            <a:srgbClr val="FF0000"/>
          </a:solidFill>
          <a:round/>
          <a:headEnd/>
          <a:tailEnd/>
        </a:ln>
      </xdr:spPr>
    </xdr:sp>
    <xdr:clientData fLocksWithSheet="0"/>
  </xdr:twoCellAnchor>
  <xdr:twoCellAnchor>
    <xdr:from>
      <xdr:col>9</xdr:col>
      <xdr:colOff>557213</xdr:colOff>
      <xdr:row>11</xdr:row>
      <xdr:rowOff>31433</xdr:rowOff>
    </xdr:from>
    <xdr:to>
      <xdr:col>9</xdr:col>
      <xdr:colOff>557213</xdr:colOff>
      <xdr:row>20</xdr:row>
      <xdr:rowOff>128588</xdr:rowOff>
    </xdr:to>
    <xdr:sp macro="" textlink="">
      <xdr:nvSpPr>
        <xdr:cNvPr id="81" name="Line 4"/>
        <xdr:cNvSpPr>
          <a:spLocks noChangeShapeType="1"/>
        </xdr:cNvSpPr>
      </xdr:nvSpPr>
      <xdr:spPr bwMode="auto">
        <a:xfrm rot="10800000" flipV="1">
          <a:off x="6043613" y="1812608"/>
          <a:ext cx="0" cy="1554480"/>
        </a:xfrm>
        <a:prstGeom prst="line">
          <a:avLst/>
        </a:prstGeom>
        <a:noFill/>
        <a:ln w="28575">
          <a:solidFill>
            <a:srgbClr val="FF0000"/>
          </a:solidFill>
          <a:round/>
          <a:headEnd/>
          <a:tailEnd/>
        </a:ln>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9</xdr:col>
      <xdr:colOff>304799</xdr:colOff>
      <xdr:row>83</xdr:row>
      <xdr:rowOff>76200</xdr:rowOff>
    </xdr:from>
    <xdr:to>
      <xdr:col>18</xdr:col>
      <xdr:colOff>590551</xdr:colOff>
      <xdr:row>99</xdr:row>
      <xdr:rowOff>76200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20</xdr:row>
      <xdr:rowOff>9525</xdr:rowOff>
    </xdr:from>
    <xdr:to>
      <xdr:col>7</xdr:col>
      <xdr:colOff>530114</xdr:colOff>
      <xdr:row>45</xdr:row>
      <xdr:rowOff>31683</xdr:rowOff>
    </xdr:to>
    <xdr:pic>
      <xdr:nvPicPr>
        <xdr:cNvPr id="3" name="Picture 2" descr="Figure4C-10-Diagram1.JPG"/>
        <xdr:cNvPicPr>
          <a:picLocks noChangeAspect="1"/>
        </xdr:cNvPicPr>
      </xdr:nvPicPr>
      <xdr:blipFill>
        <a:blip xmlns:r="http://schemas.openxmlformats.org/officeDocument/2006/relationships" r:embed="rId2" cstate="print"/>
        <a:stretch>
          <a:fillRect/>
        </a:stretch>
      </xdr:blipFill>
      <xdr:spPr>
        <a:xfrm>
          <a:off x="66675" y="2971800"/>
          <a:ext cx="6216539" cy="40702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47625</xdr:colOff>
      <xdr:row>39</xdr:row>
      <xdr:rowOff>114300</xdr:rowOff>
    </xdr:from>
    <xdr:to>
      <xdr:col>19</xdr:col>
      <xdr:colOff>57135</xdr:colOff>
      <xdr:row>58</xdr:row>
      <xdr:rowOff>114301</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7625" y="6229350"/>
          <a:ext cx="6362685" cy="3400426"/>
        </a:xfrm>
        <a:prstGeom prst="rect">
          <a:avLst/>
        </a:prstGeom>
        <a:noFill/>
      </xdr:spPr>
    </xdr:pic>
    <xdr:clientData/>
  </xdr:twoCellAnchor>
  <xdr:twoCellAnchor>
    <xdr:from>
      <xdr:col>4</xdr:col>
      <xdr:colOff>139303</xdr:colOff>
      <xdr:row>52</xdr:row>
      <xdr:rowOff>114300</xdr:rowOff>
    </xdr:from>
    <xdr:to>
      <xdr:col>6</xdr:col>
      <xdr:colOff>396478</xdr:colOff>
      <xdr:row>52</xdr:row>
      <xdr:rowOff>114300</xdr:rowOff>
    </xdr:to>
    <xdr:sp macro="" textlink="">
      <xdr:nvSpPr>
        <xdr:cNvPr id="12" name="Line 3"/>
        <xdr:cNvSpPr>
          <a:spLocks noChangeShapeType="1"/>
        </xdr:cNvSpPr>
      </xdr:nvSpPr>
      <xdr:spPr bwMode="auto">
        <a:xfrm>
          <a:off x="1339453" y="8620125"/>
          <a:ext cx="914400" cy="0"/>
        </a:xfrm>
        <a:prstGeom prst="line">
          <a:avLst/>
        </a:prstGeom>
        <a:noFill/>
        <a:ln w="28575">
          <a:solidFill>
            <a:srgbClr val="339966"/>
          </a:solidFill>
          <a:round/>
          <a:headEnd/>
          <a:tailEnd/>
        </a:ln>
      </xdr:spPr>
    </xdr:sp>
    <xdr:clientData fLocksWithSheet="0"/>
  </xdr:twoCellAnchor>
  <xdr:twoCellAnchor>
    <xdr:from>
      <xdr:col>13</xdr:col>
      <xdr:colOff>117871</xdr:colOff>
      <xdr:row>51</xdr:row>
      <xdr:rowOff>100011</xdr:rowOff>
    </xdr:from>
    <xdr:to>
      <xdr:col>13</xdr:col>
      <xdr:colOff>117871</xdr:colOff>
      <xdr:row>54</xdr:row>
      <xdr:rowOff>71436</xdr:rowOff>
    </xdr:to>
    <xdr:sp macro="" textlink="">
      <xdr:nvSpPr>
        <xdr:cNvPr id="13" name="Line 6"/>
        <xdr:cNvSpPr>
          <a:spLocks noChangeShapeType="1"/>
        </xdr:cNvSpPr>
      </xdr:nvSpPr>
      <xdr:spPr bwMode="auto">
        <a:xfrm rot="10800000" flipV="1">
          <a:off x="4718446" y="8443911"/>
          <a:ext cx="0" cy="457200"/>
        </a:xfrm>
        <a:prstGeom prst="line">
          <a:avLst/>
        </a:prstGeom>
        <a:noFill/>
        <a:ln w="28575">
          <a:solidFill>
            <a:srgbClr val="FF0000"/>
          </a:solidFill>
          <a:round/>
          <a:headEnd/>
          <a:tailEnd/>
        </a:ln>
      </xdr:spPr>
    </xdr:sp>
    <xdr:clientData fLocksWithSheet="0"/>
  </xdr:twoCellAnchor>
  <xdr:twoCellAnchor>
    <xdr:from>
      <xdr:col>6</xdr:col>
      <xdr:colOff>386953</xdr:colOff>
      <xdr:row>52</xdr:row>
      <xdr:rowOff>120967</xdr:rowOff>
    </xdr:from>
    <xdr:to>
      <xdr:col>6</xdr:col>
      <xdr:colOff>386953</xdr:colOff>
      <xdr:row>54</xdr:row>
      <xdr:rowOff>71437</xdr:rowOff>
    </xdr:to>
    <xdr:sp macro="" textlink="">
      <xdr:nvSpPr>
        <xdr:cNvPr id="14" name="Line 7"/>
        <xdr:cNvSpPr>
          <a:spLocks noChangeShapeType="1"/>
        </xdr:cNvSpPr>
      </xdr:nvSpPr>
      <xdr:spPr bwMode="auto">
        <a:xfrm rot="10800000" flipH="1" flipV="1">
          <a:off x="2244328" y="8626792"/>
          <a:ext cx="0" cy="274320"/>
        </a:xfrm>
        <a:prstGeom prst="line">
          <a:avLst/>
        </a:prstGeom>
        <a:noFill/>
        <a:ln w="28575">
          <a:solidFill>
            <a:srgbClr val="339966"/>
          </a:solidFill>
          <a:round/>
          <a:headEnd/>
          <a:tailEnd/>
        </a:ln>
      </xdr:spPr>
    </xdr:sp>
    <xdr:clientData fLocksWithSheet="0"/>
  </xdr:twoCellAnchor>
  <xdr:twoCellAnchor>
    <xdr:from>
      <xdr:col>4</xdr:col>
      <xdr:colOff>138113</xdr:colOff>
      <xdr:row>51</xdr:row>
      <xdr:rowOff>85725</xdr:rowOff>
    </xdr:from>
    <xdr:to>
      <xdr:col>13</xdr:col>
      <xdr:colOff>120968</xdr:colOff>
      <xdr:row>51</xdr:row>
      <xdr:rowOff>85725</xdr:rowOff>
    </xdr:to>
    <xdr:sp macro="" textlink="">
      <xdr:nvSpPr>
        <xdr:cNvPr id="15" name="Line 8"/>
        <xdr:cNvSpPr>
          <a:spLocks noChangeShapeType="1"/>
        </xdr:cNvSpPr>
      </xdr:nvSpPr>
      <xdr:spPr bwMode="auto">
        <a:xfrm>
          <a:off x="1338263" y="8429625"/>
          <a:ext cx="3383280" cy="0"/>
        </a:xfrm>
        <a:prstGeom prst="line">
          <a:avLst/>
        </a:prstGeom>
        <a:noFill/>
        <a:ln w="28575">
          <a:solidFill>
            <a:srgbClr val="FF0000"/>
          </a:solidFill>
          <a:round/>
          <a:headEnd/>
          <a:tailEnd/>
        </a:ln>
      </xdr:spPr>
    </xdr:sp>
    <xdr:clientData fLocksWithSheet="0"/>
  </xdr:twoCellAnchor>
  <xdr:twoCellAnchor>
    <xdr:from>
      <xdr:col>4</xdr:col>
      <xdr:colOff>144917</xdr:colOff>
      <xdr:row>52</xdr:row>
      <xdr:rowOff>16329</xdr:rowOff>
    </xdr:from>
    <xdr:to>
      <xdr:col>9</xdr:col>
      <xdr:colOff>325892</xdr:colOff>
      <xdr:row>52</xdr:row>
      <xdr:rowOff>16329</xdr:rowOff>
    </xdr:to>
    <xdr:sp macro="" textlink="">
      <xdr:nvSpPr>
        <xdr:cNvPr id="7" name="Line 8"/>
        <xdr:cNvSpPr>
          <a:spLocks noChangeShapeType="1"/>
        </xdr:cNvSpPr>
      </xdr:nvSpPr>
      <xdr:spPr bwMode="auto">
        <a:xfrm>
          <a:off x="1345067" y="8522154"/>
          <a:ext cx="1828800" cy="0"/>
        </a:xfrm>
        <a:prstGeom prst="line">
          <a:avLst/>
        </a:prstGeom>
        <a:noFill/>
        <a:ln w="28575">
          <a:solidFill>
            <a:srgbClr val="0066FF"/>
          </a:solidFill>
          <a:round/>
          <a:headEnd/>
          <a:tailEnd/>
        </a:ln>
      </xdr:spPr>
    </xdr:sp>
    <xdr:clientData fLocksWithSheet="0"/>
  </xdr:twoCellAnchor>
  <xdr:twoCellAnchor>
    <xdr:from>
      <xdr:col>9</xdr:col>
      <xdr:colOff>317045</xdr:colOff>
      <xdr:row>52</xdr:row>
      <xdr:rowOff>24763</xdr:rowOff>
    </xdr:from>
    <xdr:to>
      <xdr:col>9</xdr:col>
      <xdr:colOff>317045</xdr:colOff>
      <xdr:row>54</xdr:row>
      <xdr:rowOff>66673</xdr:rowOff>
    </xdr:to>
    <xdr:sp macro="" textlink="">
      <xdr:nvSpPr>
        <xdr:cNvPr id="8" name="Line 7"/>
        <xdr:cNvSpPr>
          <a:spLocks noChangeShapeType="1"/>
        </xdr:cNvSpPr>
      </xdr:nvSpPr>
      <xdr:spPr bwMode="auto">
        <a:xfrm rot="10800000" flipV="1">
          <a:off x="3165020" y="8530588"/>
          <a:ext cx="0" cy="365760"/>
        </a:xfrm>
        <a:prstGeom prst="line">
          <a:avLst/>
        </a:prstGeom>
        <a:noFill/>
        <a:ln w="28575">
          <a:solidFill>
            <a:srgbClr val="0066FF"/>
          </a:solidFill>
          <a:round/>
          <a:headEnd/>
          <a:tailEnd/>
        </a:ln>
      </xdr:spPr>
    </xdr:sp>
    <xdr:clientData fLock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37</xdr:row>
      <xdr:rowOff>18236</xdr:rowOff>
    </xdr:from>
    <xdr:to>
      <xdr:col>19</xdr:col>
      <xdr:colOff>76200</xdr:colOff>
      <xdr:row>57</xdr:row>
      <xdr:rowOff>131259</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8575" y="5942786"/>
          <a:ext cx="6400800" cy="3703948"/>
        </a:xfrm>
        <a:prstGeom prst="rect">
          <a:avLst/>
        </a:prstGeom>
        <a:noFill/>
      </xdr:spPr>
    </xdr:pic>
    <xdr:clientData/>
  </xdr:twoCellAnchor>
  <xdr:twoCellAnchor>
    <xdr:from>
      <xdr:col>4</xdr:col>
      <xdr:colOff>165538</xdr:colOff>
      <xdr:row>51</xdr:row>
      <xdr:rowOff>133366</xdr:rowOff>
    </xdr:from>
    <xdr:to>
      <xdr:col>9</xdr:col>
      <xdr:colOff>22663</xdr:colOff>
      <xdr:row>51</xdr:row>
      <xdr:rowOff>133366</xdr:rowOff>
    </xdr:to>
    <xdr:sp macro="" textlink="">
      <xdr:nvSpPr>
        <xdr:cNvPr id="3" name="Line 3"/>
        <xdr:cNvSpPr>
          <a:spLocks noChangeShapeType="1"/>
        </xdr:cNvSpPr>
      </xdr:nvSpPr>
      <xdr:spPr bwMode="auto">
        <a:xfrm>
          <a:off x="1365688" y="8362966"/>
          <a:ext cx="1504950" cy="0"/>
        </a:xfrm>
        <a:prstGeom prst="line">
          <a:avLst/>
        </a:prstGeom>
        <a:noFill/>
        <a:ln w="28575">
          <a:solidFill>
            <a:srgbClr val="339966"/>
          </a:solidFill>
          <a:round/>
          <a:headEnd/>
          <a:tailEnd/>
        </a:ln>
      </xdr:spPr>
    </xdr:sp>
    <xdr:clientData fLocksWithSheet="0"/>
  </xdr:twoCellAnchor>
  <xdr:twoCellAnchor>
    <xdr:from>
      <xdr:col>13</xdr:col>
      <xdr:colOff>132202</xdr:colOff>
      <xdr:row>50</xdr:row>
      <xdr:rowOff>105431</xdr:rowOff>
    </xdr:from>
    <xdr:to>
      <xdr:col>13</xdr:col>
      <xdr:colOff>132202</xdr:colOff>
      <xdr:row>53</xdr:row>
      <xdr:rowOff>76856</xdr:rowOff>
    </xdr:to>
    <xdr:sp macro="" textlink="">
      <xdr:nvSpPr>
        <xdr:cNvPr id="4" name="Line 6"/>
        <xdr:cNvSpPr>
          <a:spLocks noChangeShapeType="1"/>
        </xdr:cNvSpPr>
      </xdr:nvSpPr>
      <xdr:spPr bwMode="auto">
        <a:xfrm rot="10800000" flipV="1">
          <a:off x="4732777" y="8173106"/>
          <a:ext cx="0" cy="457200"/>
        </a:xfrm>
        <a:prstGeom prst="line">
          <a:avLst/>
        </a:prstGeom>
        <a:noFill/>
        <a:ln w="28575">
          <a:solidFill>
            <a:srgbClr val="FF0000"/>
          </a:solidFill>
          <a:round/>
          <a:headEnd/>
          <a:tailEnd/>
        </a:ln>
      </xdr:spPr>
    </xdr:sp>
    <xdr:clientData fLocksWithSheet="0"/>
  </xdr:twoCellAnchor>
  <xdr:twoCellAnchor>
    <xdr:from>
      <xdr:col>9</xdr:col>
      <xdr:colOff>16095</xdr:colOff>
      <xdr:row>51</xdr:row>
      <xdr:rowOff>125729</xdr:rowOff>
    </xdr:from>
    <xdr:to>
      <xdr:col>9</xdr:col>
      <xdr:colOff>16095</xdr:colOff>
      <xdr:row>53</xdr:row>
      <xdr:rowOff>76199</xdr:rowOff>
    </xdr:to>
    <xdr:sp macro="" textlink="">
      <xdr:nvSpPr>
        <xdr:cNvPr id="5" name="Line 7"/>
        <xdr:cNvSpPr>
          <a:spLocks noChangeShapeType="1"/>
        </xdr:cNvSpPr>
      </xdr:nvSpPr>
      <xdr:spPr bwMode="auto">
        <a:xfrm rot="10800000" flipH="1" flipV="1">
          <a:off x="2864070" y="8355329"/>
          <a:ext cx="0" cy="274320"/>
        </a:xfrm>
        <a:prstGeom prst="line">
          <a:avLst/>
        </a:prstGeom>
        <a:noFill/>
        <a:ln w="28575">
          <a:solidFill>
            <a:srgbClr val="339966"/>
          </a:solidFill>
          <a:round/>
          <a:headEnd/>
          <a:tailEnd/>
        </a:ln>
      </xdr:spPr>
    </xdr:sp>
    <xdr:clientData fLocksWithSheet="0"/>
  </xdr:twoCellAnchor>
  <xdr:twoCellAnchor>
    <xdr:from>
      <xdr:col>4</xdr:col>
      <xdr:colOff>162583</xdr:colOff>
      <xdr:row>50</xdr:row>
      <xdr:rowOff>104778</xdr:rowOff>
    </xdr:from>
    <xdr:to>
      <xdr:col>13</xdr:col>
      <xdr:colOff>145438</xdr:colOff>
      <xdr:row>50</xdr:row>
      <xdr:rowOff>106584</xdr:rowOff>
    </xdr:to>
    <xdr:sp macro="" textlink="">
      <xdr:nvSpPr>
        <xdr:cNvPr id="6" name="Line 8"/>
        <xdr:cNvSpPr>
          <a:spLocks noChangeShapeType="1"/>
        </xdr:cNvSpPr>
      </xdr:nvSpPr>
      <xdr:spPr bwMode="auto">
        <a:xfrm flipV="1">
          <a:off x="1362733" y="8172453"/>
          <a:ext cx="3383280" cy="1806"/>
        </a:xfrm>
        <a:prstGeom prst="line">
          <a:avLst/>
        </a:prstGeom>
        <a:noFill/>
        <a:ln w="28575">
          <a:solidFill>
            <a:srgbClr val="FF0000"/>
          </a:solidFill>
          <a:round/>
          <a:headEnd/>
          <a:tailEnd/>
        </a:ln>
      </xdr:spPr>
    </xdr:sp>
    <xdr:clientData fLocksWithSheet="0"/>
  </xdr:twoCellAnchor>
  <xdr:twoCellAnchor>
    <xdr:from>
      <xdr:col>4</xdr:col>
      <xdr:colOff>161924</xdr:colOff>
      <xdr:row>51</xdr:row>
      <xdr:rowOff>42530</xdr:rowOff>
    </xdr:from>
    <xdr:to>
      <xdr:col>11</xdr:col>
      <xdr:colOff>15239</xdr:colOff>
      <xdr:row>51</xdr:row>
      <xdr:rowOff>42530</xdr:rowOff>
    </xdr:to>
    <xdr:sp macro="" textlink="">
      <xdr:nvSpPr>
        <xdr:cNvPr id="7" name="Line 8"/>
        <xdr:cNvSpPr>
          <a:spLocks noChangeShapeType="1"/>
        </xdr:cNvSpPr>
      </xdr:nvSpPr>
      <xdr:spPr bwMode="auto">
        <a:xfrm flipV="1">
          <a:off x="1362074" y="8272130"/>
          <a:ext cx="2377440" cy="0"/>
        </a:xfrm>
        <a:prstGeom prst="line">
          <a:avLst/>
        </a:prstGeom>
        <a:noFill/>
        <a:ln w="28575">
          <a:solidFill>
            <a:srgbClr val="0066FF"/>
          </a:solidFill>
          <a:round/>
          <a:headEnd/>
          <a:tailEnd/>
        </a:ln>
      </xdr:spPr>
    </xdr:sp>
    <xdr:clientData fLocksWithSheet="0"/>
  </xdr:twoCellAnchor>
  <xdr:twoCellAnchor>
    <xdr:from>
      <xdr:col>11</xdr:col>
      <xdr:colOff>3612</xdr:colOff>
      <xdr:row>51</xdr:row>
      <xdr:rowOff>34289</xdr:rowOff>
    </xdr:from>
    <xdr:to>
      <xdr:col>11</xdr:col>
      <xdr:colOff>3612</xdr:colOff>
      <xdr:row>53</xdr:row>
      <xdr:rowOff>76199</xdr:rowOff>
    </xdr:to>
    <xdr:sp macro="" textlink="">
      <xdr:nvSpPr>
        <xdr:cNvPr id="8" name="Line 7"/>
        <xdr:cNvSpPr>
          <a:spLocks noChangeShapeType="1"/>
        </xdr:cNvSpPr>
      </xdr:nvSpPr>
      <xdr:spPr bwMode="auto">
        <a:xfrm rot="10800000" flipH="1" flipV="1">
          <a:off x="3727887" y="8263889"/>
          <a:ext cx="0" cy="365760"/>
        </a:xfrm>
        <a:prstGeom prst="line">
          <a:avLst/>
        </a:prstGeom>
        <a:noFill/>
        <a:ln w="28575">
          <a:solidFill>
            <a:srgbClr val="0066FF"/>
          </a:solidFill>
          <a:round/>
          <a:headEnd/>
          <a:tailEnd/>
        </a:ln>
      </xdr:spPr>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138</xdr:col>
      <xdr:colOff>457200</xdr:colOff>
      <xdr:row>57</xdr:row>
      <xdr:rowOff>66675</xdr:rowOff>
    </xdr:from>
    <xdr:to>
      <xdr:col>148</xdr:col>
      <xdr:colOff>228600</xdr:colOff>
      <xdr:row>74</xdr:row>
      <xdr:rowOff>57150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138</xdr:col>
      <xdr:colOff>504825</xdr:colOff>
      <xdr:row>109</xdr:row>
      <xdr:rowOff>142875</xdr:rowOff>
    </xdr:from>
    <xdr:to>
      <xdr:col>148</xdr:col>
      <xdr:colOff>276225</xdr:colOff>
      <xdr:row>126</xdr:row>
      <xdr:rowOff>133350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138</xdr:col>
      <xdr:colOff>476250</xdr:colOff>
      <xdr:row>75</xdr:row>
      <xdr:rowOff>0</xdr:rowOff>
    </xdr:from>
    <xdr:to>
      <xdr:col>148</xdr:col>
      <xdr:colOff>247650</xdr:colOff>
      <xdr:row>91</xdr:row>
      <xdr:rowOff>152400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138</xdr:col>
      <xdr:colOff>495300</xdr:colOff>
      <xdr:row>92</xdr:row>
      <xdr:rowOff>66675</xdr:rowOff>
    </xdr:from>
    <xdr:to>
      <xdr:col>148</xdr:col>
      <xdr:colOff>266700</xdr:colOff>
      <xdr:row>109</xdr:row>
      <xdr:rowOff>57150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Z65"/>
  <sheetViews>
    <sheetView tabSelected="1" zoomScale="94" workbookViewId="0">
      <selection activeCell="K4" sqref="K4:L4"/>
    </sheetView>
  </sheetViews>
  <sheetFormatPr defaultRowHeight="12.75"/>
  <cols>
    <col min="1" max="1" width="1.7109375" customWidth="1"/>
    <col min="2" max="2" width="9.7109375" customWidth="1"/>
    <col min="3" max="3" width="9.5703125" customWidth="1"/>
    <col min="4" max="5" width="6.7109375" customWidth="1"/>
    <col min="6" max="7" width="6.5703125" customWidth="1"/>
    <col min="8" max="9" width="6.7109375" customWidth="1"/>
    <col min="10" max="19" width="6.5703125" customWidth="1"/>
    <col min="26" max="26" width="9.140625" hidden="1" customWidth="1"/>
  </cols>
  <sheetData>
    <row r="1" spans="1:26">
      <c r="A1" s="137"/>
      <c r="B1" s="141" t="s">
        <v>447</v>
      </c>
      <c r="C1" s="13"/>
      <c r="D1" s="13"/>
      <c r="E1" s="13"/>
      <c r="F1" s="13"/>
      <c r="G1" s="13"/>
      <c r="H1" s="13"/>
      <c r="I1" s="13"/>
      <c r="J1" s="13"/>
      <c r="K1" s="13"/>
      <c r="L1" s="13"/>
      <c r="M1" s="13"/>
      <c r="N1" s="13"/>
      <c r="O1" s="13"/>
      <c r="P1" s="13"/>
      <c r="Q1" s="13"/>
      <c r="R1" s="13"/>
      <c r="S1" s="142"/>
    </row>
    <row r="2" spans="1:26" ht="15.75">
      <c r="B2" s="298" t="s">
        <v>0</v>
      </c>
      <c r="C2" s="299"/>
      <c r="D2" s="299"/>
      <c r="E2" s="299"/>
      <c r="F2" s="299"/>
      <c r="G2" s="299"/>
      <c r="H2" s="299"/>
      <c r="I2" s="299"/>
      <c r="J2" s="299"/>
      <c r="K2" s="299"/>
      <c r="L2" s="299"/>
      <c r="M2" s="299"/>
      <c r="N2" s="299"/>
      <c r="O2" s="299"/>
      <c r="P2" s="299"/>
      <c r="Q2" s="299"/>
      <c r="R2" s="299"/>
      <c r="S2" s="300"/>
    </row>
    <row r="3" spans="1:26">
      <c r="B3" s="7"/>
      <c r="C3" s="8"/>
      <c r="D3" s="8"/>
      <c r="E3" s="8"/>
      <c r="F3" s="8"/>
      <c r="G3" s="8"/>
      <c r="H3" s="8"/>
      <c r="I3" s="8"/>
      <c r="J3" s="8"/>
      <c r="K3" s="8"/>
      <c r="L3" s="8"/>
      <c r="M3" s="8"/>
      <c r="N3" s="8"/>
      <c r="O3" s="8"/>
      <c r="P3" s="8"/>
      <c r="Q3" s="8"/>
      <c r="R3" s="8"/>
      <c r="S3" s="9"/>
    </row>
    <row r="4" spans="1:26" ht="13.5" thickBot="1">
      <c r="B4" s="7"/>
      <c r="C4" s="8"/>
      <c r="D4" s="8"/>
      <c r="E4" s="8"/>
      <c r="F4" s="8"/>
      <c r="G4" s="8"/>
      <c r="H4" s="8"/>
      <c r="I4" s="8"/>
      <c r="J4" s="15" t="s">
        <v>1</v>
      </c>
      <c r="K4" s="308"/>
      <c r="L4" s="309"/>
      <c r="M4" s="8"/>
      <c r="N4" s="8"/>
      <c r="O4" s="8"/>
      <c r="P4" s="15" t="s">
        <v>2</v>
      </c>
      <c r="Q4" s="303">
        <f ca="1">TODAY()</f>
        <v>42073</v>
      </c>
      <c r="R4" s="303"/>
      <c r="S4" s="9"/>
      <c r="Z4" t="s">
        <v>87</v>
      </c>
    </row>
    <row r="5" spans="1:26">
      <c r="B5" s="7"/>
      <c r="C5" s="8"/>
      <c r="D5" s="8"/>
      <c r="E5" s="8"/>
      <c r="F5" s="8"/>
      <c r="G5" s="8"/>
      <c r="H5" s="8"/>
      <c r="I5" s="8"/>
      <c r="J5" s="8"/>
      <c r="K5" s="8"/>
      <c r="L5" s="8"/>
      <c r="M5" s="8"/>
      <c r="N5" s="8"/>
      <c r="O5" s="8"/>
      <c r="P5" s="8"/>
      <c r="Q5" s="8"/>
      <c r="R5" s="8"/>
      <c r="S5" s="9"/>
      <c r="Z5" t="s">
        <v>57</v>
      </c>
    </row>
    <row r="6" spans="1:26" ht="13.5" thickBot="1">
      <c r="B6" s="313"/>
      <c r="C6" s="309"/>
      <c r="D6" s="307"/>
      <c r="E6" s="125"/>
      <c r="F6" s="306"/>
      <c r="G6" s="307"/>
      <c r="H6" s="126"/>
      <c r="I6" s="8"/>
      <c r="J6" s="15" t="s">
        <v>3</v>
      </c>
      <c r="K6" s="309"/>
      <c r="L6" s="309"/>
      <c r="M6" s="8"/>
      <c r="N6" s="8"/>
      <c r="O6" s="8"/>
      <c r="P6" s="15" t="s">
        <v>4</v>
      </c>
      <c r="Q6" s="303"/>
      <c r="R6" s="303"/>
      <c r="S6" s="9"/>
    </row>
    <row r="7" spans="1:26">
      <c r="B7" s="301" t="s">
        <v>5</v>
      </c>
      <c r="C7" s="302"/>
      <c r="D7" s="302"/>
      <c r="E7" s="3" t="s">
        <v>6</v>
      </c>
      <c r="F7" s="302" t="s">
        <v>7</v>
      </c>
      <c r="G7" s="302"/>
      <c r="H7" s="3" t="s">
        <v>8</v>
      </c>
      <c r="I7" s="8"/>
      <c r="J7" s="8"/>
      <c r="K7" s="8"/>
      <c r="L7" s="8"/>
      <c r="M7" s="8"/>
      <c r="N7" s="8"/>
      <c r="O7" s="8"/>
      <c r="P7" s="8"/>
      <c r="Q7" s="8"/>
      <c r="R7" s="8"/>
      <c r="S7" s="9"/>
      <c r="Z7">
        <v>1</v>
      </c>
    </row>
    <row r="8" spans="1:26">
      <c r="B8" s="7"/>
      <c r="C8" s="8"/>
      <c r="D8" s="8"/>
      <c r="E8" s="8"/>
      <c r="F8" s="8"/>
      <c r="G8" s="8"/>
      <c r="H8" s="8"/>
      <c r="I8" s="8"/>
      <c r="J8" s="8"/>
      <c r="K8" s="8"/>
      <c r="L8" s="310" t="str">
        <f>IF(M9=40,"Is 85th Percentile Speed &gt; 40 MPH?","")</f>
        <v/>
      </c>
      <c r="M8" s="310"/>
      <c r="N8" s="310"/>
      <c r="O8" s="310"/>
      <c r="P8" s="310"/>
      <c r="Q8" s="310"/>
      <c r="R8" s="217"/>
      <c r="S8" s="9"/>
      <c r="Z8">
        <v>2</v>
      </c>
    </row>
    <row r="9" spans="1:26" ht="13.5" thickBot="1">
      <c r="B9" s="7" t="s">
        <v>9</v>
      </c>
      <c r="C9" s="8"/>
      <c r="D9" s="308"/>
      <c r="E9" s="309"/>
      <c r="F9" s="309"/>
      <c r="G9" s="309"/>
      <c r="H9" s="309"/>
      <c r="I9" s="8"/>
      <c r="J9" s="8"/>
      <c r="K9" s="8"/>
      <c r="L9" s="15" t="s">
        <v>69</v>
      </c>
      <c r="M9" s="127"/>
      <c r="N9" s="8" t="s">
        <v>65</v>
      </c>
      <c r="O9" s="8"/>
      <c r="P9" s="15" t="s">
        <v>11</v>
      </c>
      <c r="Q9" s="127"/>
      <c r="R9" s="8"/>
      <c r="S9" s="9"/>
    </row>
    <row r="10" spans="1:26" ht="13.5" thickBot="1">
      <c r="B10" s="7" t="s">
        <v>12</v>
      </c>
      <c r="C10" s="8"/>
      <c r="D10" s="8"/>
      <c r="E10" s="8"/>
      <c r="F10" s="8"/>
      <c r="G10" s="8"/>
      <c r="H10" s="8"/>
      <c r="I10" s="8"/>
      <c r="J10" s="8"/>
      <c r="K10" s="8"/>
      <c r="L10" s="8"/>
      <c r="M10" s="8"/>
      <c r="N10" s="8"/>
      <c r="O10" s="8"/>
      <c r="P10" s="8"/>
      <c r="Q10" s="206"/>
      <c r="R10" s="8"/>
      <c r="S10" s="9"/>
      <c r="Z10" s="284"/>
    </row>
    <row r="11" spans="1:26" ht="13.5" thickBot="1">
      <c r="B11" s="7" t="s">
        <v>13</v>
      </c>
      <c r="C11" s="8"/>
      <c r="D11" s="8"/>
      <c r="E11" s="8"/>
      <c r="F11" s="8"/>
      <c r="G11" s="8"/>
      <c r="H11" s="8"/>
      <c r="I11" s="8"/>
      <c r="J11" s="8"/>
      <c r="K11" s="8"/>
      <c r="L11" s="8"/>
      <c r="M11" s="127"/>
      <c r="O11" s="8"/>
      <c r="P11" s="8"/>
      <c r="Q11" s="8"/>
      <c r="R11" s="8"/>
      <c r="S11" s="9"/>
    </row>
    <row r="12" spans="1:26" ht="13.5" thickBot="1">
      <c r="B12" s="7" t="s">
        <v>14</v>
      </c>
      <c r="C12" s="8"/>
      <c r="D12" s="8"/>
      <c r="E12" s="8"/>
      <c r="F12" s="8"/>
      <c r="G12" s="8"/>
      <c r="H12" s="8"/>
      <c r="I12" s="8"/>
      <c r="J12" s="127"/>
      <c r="K12" s="8"/>
      <c r="L12" s="8"/>
      <c r="M12" s="8"/>
      <c r="N12" s="8"/>
      <c r="O12" s="8"/>
      <c r="P12" s="8"/>
      <c r="Q12" s="8"/>
      <c r="R12" s="8"/>
      <c r="S12" s="9"/>
    </row>
    <row r="13" spans="1:26" ht="13.5" thickBot="1">
      <c r="B13" s="7" t="s">
        <v>68</v>
      </c>
      <c r="C13" s="8"/>
      <c r="D13" s="8"/>
      <c r="E13" s="15" t="s">
        <v>71</v>
      </c>
      <c r="F13" s="253"/>
      <c r="G13" s="8" t="s">
        <v>15</v>
      </c>
      <c r="H13" s="15" t="s">
        <v>70</v>
      </c>
      <c r="I13" s="253"/>
      <c r="J13" s="8" t="s">
        <v>15</v>
      </c>
      <c r="K13" s="8"/>
      <c r="L13" s="8"/>
      <c r="M13" s="8"/>
      <c r="N13" s="8"/>
      <c r="O13" s="8"/>
      <c r="P13" s="8"/>
      <c r="Q13" s="8"/>
      <c r="R13" s="8"/>
      <c r="S13" s="9"/>
    </row>
    <row r="14" spans="1:26" ht="13.5" thickBot="1">
      <c r="B14" s="7" t="s">
        <v>16</v>
      </c>
      <c r="C14" s="8"/>
      <c r="D14" s="8"/>
      <c r="E14" s="8"/>
      <c r="F14" s="8"/>
      <c r="G14" s="8"/>
      <c r="H14" s="8"/>
      <c r="I14" s="8"/>
      <c r="J14" s="8"/>
      <c r="K14" s="8"/>
      <c r="L14" s="8"/>
      <c r="M14" s="8"/>
      <c r="N14" s="8"/>
      <c r="O14" s="8"/>
      <c r="P14" s="8"/>
      <c r="Q14" s="8"/>
      <c r="R14" s="203"/>
      <c r="S14" s="9"/>
    </row>
    <row r="15" spans="1:26">
      <c r="B15" s="7"/>
      <c r="C15" s="8"/>
      <c r="D15" s="8"/>
      <c r="E15" s="8"/>
      <c r="F15" s="8"/>
      <c r="G15" s="8"/>
      <c r="H15" s="8"/>
      <c r="I15" s="8"/>
      <c r="J15" s="8"/>
      <c r="K15" s="8"/>
      <c r="L15" s="310" t="str">
        <f>IF(M16=40,"Is 85th Percentile Speed &gt; 40 MPH?","")</f>
        <v/>
      </c>
      <c r="M15" s="310"/>
      <c r="N15" s="310"/>
      <c r="O15" s="310"/>
      <c r="P15" s="310"/>
      <c r="Q15" s="310"/>
      <c r="R15" s="217"/>
      <c r="S15" s="9"/>
    </row>
    <row r="16" spans="1:26" ht="13.5" thickBot="1">
      <c r="B16" s="7" t="s">
        <v>17</v>
      </c>
      <c r="C16" s="8"/>
      <c r="D16" s="308"/>
      <c r="E16" s="309"/>
      <c r="F16" s="309"/>
      <c r="G16" s="309"/>
      <c r="H16" s="309"/>
      <c r="I16" s="8"/>
      <c r="J16" s="8"/>
      <c r="K16" s="8"/>
      <c r="L16" s="15" t="s">
        <v>69</v>
      </c>
      <c r="M16" s="127"/>
      <c r="N16" s="16" t="s">
        <v>65</v>
      </c>
      <c r="O16" s="8"/>
      <c r="P16" s="15" t="s">
        <v>11</v>
      </c>
      <c r="Q16" s="127"/>
      <c r="R16" s="8"/>
      <c r="S16" s="9"/>
      <c r="Z16" s="204"/>
    </row>
    <row r="17" spans="2:26" ht="13.5" thickBot="1">
      <c r="B17" s="7" t="s">
        <v>12</v>
      </c>
      <c r="C17" s="8"/>
      <c r="D17" s="8"/>
      <c r="E17" s="8"/>
      <c r="F17" s="8"/>
      <c r="G17" s="8"/>
      <c r="H17" s="8"/>
      <c r="I17" s="8"/>
      <c r="J17" s="8"/>
      <c r="K17" s="8"/>
      <c r="L17" s="8"/>
      <c r="M17" s="8"/>
      <c r="N17" s="8"/>
      <c r="O17" s="8"/>
      <c r="P17" s="8"/>
      <c r="Q17" s="127"/>
      <c r="R17" s="8"/>
      <c r="S17" s="9"/>
      <c r="Z17" s="284"/>
    </row>
    <row r="18" spans="2:26" ht="13.5" thickBot="1">
      <c r="B18" s="7" t="s">
        <v>13</v>
      </c>
      <c r="C18" s="8"/>
      <c r="D18" s="8"/>
      <c r="E18" s="8"/>
      <c r="F18" s="8"/>
      <c r="G18" s="8"/>
      <c r="H18" s="8"/>
      <c r="I18" s="8"/>
      <c r="J18" s="8"/>
      <c r="K18" s="8"/>
      <c r="L18" s="8"/>
      <c r="M18" s="127"/>
      <c r="N18" s="8"/>
      <c r="O18" s="8"/>
      <c r="P18" s="8"/>
      <c r="Q18" s="8"/>
      <c r="R18" s="8"/>
      <c r="S18" s="9"/>
    </row>
    <row r="19" spans="2:26" ht="13.5" thickBot="1">
      <c r="B19" s="7" t="s">
        <v>14</v>
      </c>
      <c r="C19" s="8"/>
      <c r="D19" s="8"/>
      <c r="E19" s="8"/>
      <c r="F19" s="8"/>
      <c r="G19" s="8"/>
      <c r="H19" s="8"/>
      <c r="I19" s="8"/>
      <c r="J19" s="127"/>
      <c r="K19" s="8"/>
      <c r="L19" s="8"/>
      <c r="M19" s="8"/>
      <c r="N19" s="8"/>
      <c r="O19" s="8"/>
      <c r="P19" s="8"/>
      <c r="Q19" s="8"/>
      <c r="R19" s="8"/>
      <c r="S19" s="9"/>
    </row>
    <row r="20" spans="2:26" ht="13.5" thickBot="1">
      <c r="B20" s="7" t="s">
        <v>68</v>
      </c>
      <c r="C20" s="8"/>
      <c r="D20" s="8"/>
      <c r="E20" s="15" t="s">
        <v>67</v>
      </c>
      <c r="F20" s="253"/>
      <c r="G20" s="8" t="s">
        <v>15</v>
      </c>
      <c r="H20" s="15" t="s">
        <v>66</v>
      </c>
      <c r="I20" s="253"/>
      <c r="J20" s="8" t="s">
        <v>15</v>
      </c>
      <c r="K20" s="8"/>
      <c r="L20" s="8"/>
      <c r="M20" s="8"/>
      <c r="N20" s="8"/>
      <c r="O20" s="8"/>
      <c r="P20" s="8"/>
      <c r="Q20" s="8"/>
      <c r="R20" s="8"/>
      <c r="S20" s="9"/>
    </row>
    <row r="21" spans="2:26" ht="13.5" thickBot="1">
      <c r="B21" s="7" t="s">
        <v>16</v>
      </c>
      <c r="C21" s="8"/>
      <c r="D21" s="8"/>
      <c r="E21" s="8"/>
      <c r="F21" s="8"/>
      <c r="G21" s="8"/>
      <c r="H21" s="8"/>
      <c r="I21" s="8"/>
      <c r="J21" s="8"/>
      <c r="K21" s="8"/>
      <c r="L21" s="8"/>
      <c r="M21" s="8"/>
      <c r="N21" s="8"/>
      <c r="O21" s="8"/>
      <c r="P21" s="8"/>
      <c r="Q21" s="8"/>
      <c r="R21" s="127"/>
      <c r="S21" s="9"/>
    </row>
    <row r="22" spans="2:26">
      <c r="B22" s="7"/>
      <c r="C22" s="8"/>
      <c r="D22" s="8"/>
      <c r="E22" s="8"/>
      <c r="F22" s="8"/>
      <c r="G22" s="8"/>
      <c r="H22" s="8"/>
      <c r="I22" s="8"/>
      <c r="J22" s="8"/>
      <c r="K22" s="8"/>
      <c r="L22" s="8"/>
      <c r="M22" s="8"/>
      <c r="N22" s="8"/>
      <c r="O22" s="8"/>
      <c r="P22" s="8"/>
      <c r="Q22" s="8"/>
      <c r="R22" s="8"/>
      <c r="S22" s="9"/>
    </row>
    <row r="23" spans="2:26">
      <c r="B23" s="7" t="s">
        <v>18</v>
      </c>
      <c r="C23" s="8"/>
      <c r="D23" s="8"/>
      <c r="E23" s="8"/>
      <c r="F23" s="8"/>
      <c r="G23" s="8"/>
      <c r="H23" s="8"/>
      <c r="I23" s="8"/>
      <c r="J23" s="8"/>
      <c r="K23" s="8"/>
      <c r="L23" s="8"/>
      <c r="M23" s="8"/>
      <c r="N23" s="8"/>
      <c r="O23" s="8"/>
      <c r="P23" s="8"/>
      <c r="Q23" s="8"/>
      <c r="R23" s="8"/>
      <c r="S23" s="9"/>
    </row>
    <row r="24" spans="2:26" ht="13.5" thickBot="1">
      <c r="B24" s="7" t="s">
        <v>19</v>
      </c>
      <c r="C24" s="8"/>
      <c r="D24" s="8"/>
      <c r="E24" s="8"/>
      <c r="F24" s="8"/>
      <c r="G24" s="8"/>
      <c r="H24" s="127"/>
      <c r="I24" s="8"/>
      <c r="J24" s="8"/>
      <c r="K24" s="8"/>
      <c r="L24" s="8"/>
      <c r="M24" s="8"/>
      <c r="N24" s="8"/>
      <c r="O24" s="8"/>
      <c r="P24" s="8"/>
      <c r="Q24" s="8"/>
      <c r="R24" s="8"/>
      <c r="S24" s="9"/>
    </row>
    <row r="25" spans="2:26">
      <c r="B25" s="7"/>
      <c r="C25" s="8"/>
      <c r="D25" s="8"/>
      <c r="E25" s="8"/>
      <c r="F25" s="8"/>
      <c r="G25" s="8"/>
      <c r="H25" s="8"/>
      <c r="I25" s="8"/>
      <c r="J25" s="8"/>
      <c r="K25" s="8"/>
      <c r="L25" s="8"/>
      <c r="M25" s="8"/>
      <c r="N25" s="8"/>
      <c r="O25" s="8"/>
      <c r="P25" s="8"/>
      <c r="Q25" s="8"/>
      <c r="R25" s="8"/>
      <c r="S25" s="9"/>
    </row>
    <row r="26" spans="2:26" ht="13.5" thickBot="1">
      <c r="B26" s="7" t="s">
        <v>20</v>
      </c>
      <c r="C26" s="8"/>
      <c r="D26" s="8"/>
      <c r="E26" s="8"/>
      <c r="F26" s="8"/>
      <c r="G26" s="8"/>
      <c r="H26" s="8"/>
      <c r="I26" s="8"/>
      <c r="J26" s="8"/>
      <c r="K26" s="8"/>
      <c r="L26" s="8"/>
      <c r="M26" s="8"/>
      <c r="N26" s="127"/>
      <c r="O26" s="8"/>
      <c r="P26" s="8"/>
      <c r="Q26" s="8"/>
      <c r="R26" s="8"/>
      <c r="S26" s="9"/>
    </row>
    <row r="27" spans="2:26">
      <c r="B27" s="7"/>
      <c r="C27" s="8"/>
      <c r="D27" s="8"/>
      <c r="E27" s="8"/>
      <c r="F27" s="8"/>
      <c r="G27" s="8"/>
      <c r="H27" s="8"/>
      <c r="I27" s="8"/>
      <c r="J27" s="8"/>
      <c r="K27" s="8"/>
      <c r="L27" s="8"/>
      <c r="M27" s="8"/>
      <c r="N27" s="8"/>
      <c r="O27" s="8"/>
      <c r="P27" s="8"/>
      <c r="Q27" s="8"/>
      <c r="R27" s="8"/>
      <c r="S27" s="9"/>
    </row>
    <row r="28" spans="2:26" ht="13.5" thickBot="1">
      <c r="B28" s="7" t="s">
        <v>21</v>
      </c>
      <c r="C28" s="8"/>
      <c r="D28" s="8"/>
      <c r="E28" s="8"/>
      <c r="F28" s="8"/>
      <c r="G28" s="8"/>
      <c r="H28" s="8"/>
      <c r="I28" s="8"/>
      <c r="J28" s="8"/>
      <c r="K28" s="8"/>
      <c r="L28" s="8"/>
      <c r="M28" s="8"/>
      <c r="N28" s="127"/>
      <c r="O28" s="8"/>
      <c r="P28" s="8"/>
      <c r="Q28" s="8"/>
      <c r="R28" s="8"/>
      <c r="S28" s="9"/>
    </row>
    <row r="29" spans="2:26">
      <c r="B29" s="7"/>
      <c r="C29" s="8"/>
      <c r="D29" s="8"/>
      <c r="E29" s="8"/>
      <c r="F29" s="8"/>
      <c r="G29" s="8"/>
      <c r="H29" s="8"/>
      <c r="I29" s="8"/>
      <c r="J29" s="8"/>
      <c r="K29" s="8"/>
      <c r="L29" s="8"/>
      <c r="M29" s="8"/>
      <c r="N29" s="112"/>
      <c r="O29" s="8"/>
      <c r="P29" s="8"/>
      <c r="Q29" s="8"/>
      <c r="R29" s="8"/>
      <c r="S29" s="9"/>
    </row>
    <row r="30" spans="2:26" ht="13.5" thickBot="1">
      <c r="B30" s="7" t="s">
        <v>360</v>
      </c>
      <c r="C30" s="8"/>
      <c r="D30" s="8"/>
      <c r="E30" s="8"/>
      <c r="F30" s="8"/>
      <c r="G30" s="8"/>
      <c r="H30" s="8"/>
      <c r="I30" s="8"/>
      <c r="J30" s="8"/>
      <c r="K30" s="8"/>
      <c r="L30" s="8"/>
      <c r="M30" s="8"/>
      <c r="O30" s="127"/>
      <c r="P30" s="8"/>
      <c r="Q30" s="8"/>
      <c r="R30" s="8"/>
      <c r="S30" s="9"/>
    </row>
    <row r="31" spans="2:26" ht="13.5" thickBot="1">
      <c r="B31" s="7"/>
      <c r="C31" s="8"/>
      <c r="D31" s="8"/>
      <c r="E31" s="8"/>
      <c r="F31" s="8"/>
      <c r="G31" s="8"/>
      <c r="H31" s="8"/>
      <c r="I31" s="8"/>
      <c r="J31" s="8"/>
      <c r="K31" s="8"/>
      <c r="L31" s="8"/>
      <c r="M31" s="8"/>
      <c r="N31" s="8"/>
      <c r="O31" s="8"/>
      <c r="P31" s="8"/>
      <c r="Q31" s="8"/>
      <c r="R31" s="8"/>
      <c r="S31" s="9"/>
    </row>
    <row r="32" spans="2:26" ht="13.5" thickBot="1">
      <c r="B32" s="292" t="s">
        <v>22</v>
      </c>
      <c r="C32" s="293"/>
      <c r="D32" s="293"/>
      <c r="E32" s="293"/>
      <c r="F32" s="293"/>
      <c r="G32" s="293"/>
      <c r="H32" s="293"/>
      <c r="I32" s="293"/>
      <c r="J32" s="293"/>
      <c r="K32" s="293"/>
      <c r="L32" s="293"/>
      <c r="M32" s="293"/>
      <c r="N32" s="293"/>
      <c r="O32" s="293"/>
      <c r="P32" s="293"/>
      <c r="Q32" s="293"/>
      <c r="R32" s="293"/>
      <c r="S32" s="294"/>
    </row>
    <row r="33" spans="2:19">
      <c r="B33" s="7"/>
      <c r="C33" s="8"/>
      <c r="D33" s="12"/>
      <c r="E33" s="13"/>
      <c r="F33" s="13"/>
      <c r="G33" s="14"/>
      <c r="H33" s="12"/>
      <c r="I33" s="13"/>
      <c r="J33" s="13"/>
      <c r="K33" s="14"/>
      <c r="L33" s="12"/>
      <c r="M33" s="13"/>
      <c r="N33" s="13"/>
      <c r="O33" s="14"/>
      <c r="P33" s="12"/>
      <c r="Q33" s="13"/>
      <c r="R33" s="13"/>
      <c r="S33" s="14"/>
    </row>
    <row r="34" spans="2:19">
      <c r="B34" s="7"/>
      <c r="C34" s="8"/>
      <c r="D34" s="288" t="s">
        <v>23</v>
      </c>
      <c r="E34" s="304"/>
      <c r="F34" s="304"/>
      <c r="G34" s="305"/>
      <c r="H34" s="288" t="s">
        <v>24</v>
      </c>
      <c r="I34" s="304"/>
      <c r="J34" s="304"/>
      <c r="K34" s="305"/>
      <c r="L34" s="288" t="s">
        <v>25</v>
      </c>
      <c r="M34" s="304"/>
      <c r="N34" s="304"/>
      <c r="O34" s="305"/>
      <c r="P34" s="288" t="s">
        <v>26</v>
      </c>
      <c r="Q34" s="304"/>
      <c r="R34" s="304"/>
      <c r="S34" s="305"/>
    </row>
    <row r="35" spans="2:19" ht="13.5" thickBot="1">
      <c r="B35" s="7"/>
      <c r="C35" s="8"/>
      <c r="D35" s="17" t="s">
        <v>27</v>
      </c>
      <c r="E35" s="18" t="s">
        <v>28</v>
      </c>
      <c r="F35" s="18" t="s">
        <v>29</v>
      </c>
      <c r="G35" s="19" t="s">
        <v>30</v>
      </c>
      <c r="H35" s="17" t="s">
        <v>27</v>
      </c>
      <c r="I35" s="18" t="s">
        <v>28</v>
      </c>
      <c r="J35" s="18" t="s">
        <v>29</v>
      </c>
      <c r="K35" s="19" t="s">
        <v>30</v>
      </c>
      <c r="L35" s="17" t="s">
        <v>27</v>
      </c>
      <c r="M35" s="18" t="s">
        <v>28</v>
      </c>
      <c r="N35" s="18" t="s">
        <v>29</v>
      </c>
      <c r="O35" s="19" t="s">
        <v>30</v>
      </c>
      <c r="P35" s="17" t="s">
        <v>27</v>
      </c>
      <c r="Q35" s="18" t="s">
        <v>28</v>
      </c>
      <c r="R35" s="18" t="s">
        <v>29</v>
      </c>
      <c r="S35" s="19" t="s">
        <v>30</v>
      </c>
    </row>
    <row r="36" spans="2:19">
      <c r="B36" s="314" t="s">
        <v>31</v>
      </c>
      <c r="C36" s="315"/>
      <c r="D36" s="128"/>
      <c r="E36" s="129"/>
      <c r="F36" s="129"/>
      <c r="G36" s="130"/>
      <c r="H36" s="128"/>
      <c r="I36" s="129"/>
      <c r="J36" s="129"/>
      <c r="K36" s="130"/>
      <c r="L36" s="128"/>
      <c r="M36" s="129"/>
      <c r="N36" s="129"/>
      <c r="O36" s="130"/>
      <c r="P36" s="128"/>
      <c r="Q36" s="129"/>
      <c r="R36" s="129"/>
      <c r="S36" s="130"/>
    </row>
    <row r="37" spans="2:19">
      <c r="B37" s="288" t="s">
        <v>32</v>
      </c>
      <c r="C37" s="289"/>
      <c r="D37" s="131"/>
      <c r="E37" s="132"/>
      <c r="F37" s="132"/>
      <c r="G37" s="133"/>
      <c r="H37" s="131"/>
      <c r="I37" s="132"/>
      <c r="J37" s="132"/>
      <c r="K37" s="133"/>
      <c r="L37" s="131"/>
      <c r="M37" s="132"/>
      <c r="N37" s="132"/>
      <c r="O37" s="133"/>
      <c r="P37" s="131"/>
      <c r="Q37" s="132"/>
      <c r="R37" s="132"/>
      <c r="S37" s="133"/>
    </row>
    <row r="38" spans="2:19">
      <c r="B38" s="288" t="s">
        <v>33</v>
      </c>
      <c r="C38" s="289"/>
      <c r="D38" s="131"/>
      <c r="E38" s="132"/>
      <c r="F38" s="132"/>
      <c r="G38" s="133"/>
      <c r="H38" s="131"/>
      <c r="I38" s="132"/>
      <c r="J38" s="132"/>
      <c r="K38" s="133"/>
      <c r="L38" s="131"/>
      <c r="M38" s="132"/>
      <c r="N38" s="132"/>
      <c r="O38" s="133"/>
      <c r="P38" s="131"/>
      <c r="Q38" s="132"/>
      <c r="R38" s="132"/>
      <c r="S38" s="133"/>
    </row>
    <row r="39" spans="2:19">
      <c r="B39" s="288" t="s">
        <v>34</v>
      </c>
      <c r="C39" s="289"/>
      <c r="D39" s="131"/>
      <c r="E39" s="132"/>
      <c r="F39" s="132"/>
      <c r="G39" s="133"/>
      <c r="H39" s="131"/>
      <c r="I39" s="132"/>
      <c r="J39" s="132"/>
      <c r="K39" s="133"/>
      <c r="L39" s="131"/>
      <c r="M39" s="132"/>
      <c r="N39" s="132"/>
      <c r="O39" s="133"/>
      <c r="P39" s="131"/>
      <c r="Q39" s="132"/>
      <c r="R39" s="132"/>
      <c r="S39" s="133"/>
    </row>
    <row r="40" spans="2:19">
      <c r="B40" s="288" t="s">
        <v>35</v>
      </c>
      <c r="C40" s="289"/>
      <c r="D40" s="131"/>
      <c r="E40" s="132"/>
      <c r="F40" s="132"/>
      <c r="G40" s="133"/>
      <c r="H40" s="131"/>
      <c r="I40" s="132"/>
      <c r="J40" s="132"/>
      <c r="K40" s="133"/>
      <c r="L40" s="131"/>
      <c r="M40" s="132"/>
      <c r="N40" s="132"/>
      <c r="O40" s="133"/>
      <c r="P40" s="131"/>
      <c r="Q40" s="132"/>
      <c r="R40" s="132"/>
      <c r="S40" s="133"/>
    </row>
    <row r="41" spans="2:19">
      <c r="B41" s="288" t="s">
        <v>36</v>
      </c>
      <c r="C41" s="289"/>
      <c r="D41" s="131"/>
      <c r="E41" s="132"/>
      <c r="F41" s="132"/>
      <c r="G41" s="133"/>
      <c r="H41" s="131"/>
      <c r="I41" s="132"/>
      <c r="J41" s="132"/>
      <c r="K41" s="133"/>
      <c r="L41" s="131"/>
      <c r="M41" s="132"/>
      <c r="N41" s="132"/>
      <c r="O41" s="133"/>
      <c r="P41" s="131"/>
      <c r="Q41" s="132"/>
      <c r="R41" s="132"/>
      <c r="S41" s="133"/>
    </row>
    <row r="42" spans="2:19">
      <c r="B42" s="288" t="s">
        <v>37</v>
      </c>
      <c r="C42" s="289"/>
      <c r="D42" s="131"/>
      <c r="E42" s="132"/>
      <c r="F42" s="132"/>
      <c r="G42" s="133"/>
      <c r="H42" s="131"/>
      <c r="I42" s="132"/>
      <c r="J42" s="132"/>
      <c r="K42" s="133"/>
      <c r="L42" s="131"/>
      <c r="M42" s="132"/>
      <c r="N42" s="132"/>
      <c r="O42" s="133"/>
      <c r="P42" s="131"/>
      <c r="Q42" s="132"/>
      <c r="R42" s="132"/>
      <c r="S42" s="133"/>
    </row>
    <row r="43" spans="2:19">
      <c r="B43" s="288" t="s">
        <v>38</v>
      </c>
      <c r="C43" s="289"/>
      <c r="D43" s="131"/>
      <c r="E43" s="132"/>
      <c r="F43" s="132"/>
      <c r="G43" s="133"/>
      <c r="H43" s="131"/>
      <c r="I43" s="132"/>
      <c r="J43" s="132"/>
      <c r="K43" s="133"/>
      <c r="L43" s="131"/>
      <c r="M43" s="132"/>
      <c r="N43" s="132"/>
      <c r="O43" s="133"/>
      <c r="P43" s="131"/>
      <c r="Q43" s="132"/>
      <c r="R43" s="132"/>
      <c r="S43" s="133"/>
    </row>
    <row r="44" spans="2:19">
      <c r="B44" s="288" t="s">
        <v>39</v>
      </c>
      <c r="C44" s="289"/>
      <c r="D44" s="131"/>
      <c r="E44" s="132"/>
      <c r="F44" s="132"/>
      <c r="G44" s="133"/>
      <c r="H44" s="131"/>
      <c r="I44" s="132"/>
      <c r="J44" s="132"/>
      <c r="K44" s="133"/>
      <c r="L44" s="131"/>
      <c r="M44" s="132"/>
      <c r="N44" s="132"/>
      <c r="O44" s="133"/>
      <c r="P44" s="131"/>
      <c r="Q44" s="132"/>
      <c r="R44" s="132"/>
      <c r="S44" s="133"/>
    </row>
    <row r="45" spans="2:19">
      <c r="B45" s="288" t="s">
        <v>40</v>
      </c>
      <c r="C45" s="289"/>
      <c r="D45" s="131"/>
      <c r="E45" s="132"/>
      <c r="F45" s="132"/>
      <c r="G45" s="133"/>
      <c r="H45" s="131"/>
      <c r="I45" s="132"/>
      <c r="J45" s="132"/>
      <c r="K45" s="133"/>
      <c r="L45" s="131"/>
      <c r="M45" s="132"/>
      <c r="N45" s="132"/>
      <c r="O45" s="133"/>
      <c r="P45" s="131"/>
      <c r="Q45" s="132"/>
      <c r="R45" s="132"/>
      <c r="S45" s="133"/>
    </row>
    <row r="46" spans="2:19">
      <c r="B46" s="288" t="s">
        <v>41</v>
      </c>
      <c r="C46" s="289"/>
      <c r="D46" s="131"/>
      <c r="E46" s="132"/>
      <c r="F46" s="132"/>
      <c r="G46" s="133"/>
      <c r="H46" s="131"/>
      <c r="I46" s="132"/>
      <c r="J46" s="132"/>
      <c r="K46" s="133"/>
      <c r="L46" s="131"/>
      <c r="M46" s="132"/>
      <c r="N46" s="132"/>
      <c r="O46" s="133"/>
      <c r="P46" s="131"/>
      <c r="Q46" s="132"/>
      <c r="R46" s="132"/>
      <c r="S46" s="133"/>
    </row>
    <row r="47" spans="2:19">
      <c r="B47" s="288" t="s">
        <v>42</v>
      </c>
      <c r="C47" s="289"/>
      <c r="D47" s="131"/>
      <c r="E47" s="132"/>
      <c r="F47" s="132"/>
      <c r="G47" s="133"/>
      <c r="H47" s="131"/>
      <c r="I47" s="132"/>
      <c r="J47" s="132"/>
      <c r="K47" s="133"/>
      <c r="L47" s="131"/>
      <c r="M47" s="132"/>
      <c r="N47" s="132"/>
      <c r="O47" s="133"/>
      <c r="P47" s="131"/>
      <c r="Q47" s="132"/>
      <c r="R47" s="132"/>
      <c r="S47" s="133"/>
    </row>
    <row r="48" spans="2:19" ht="13.5" thickBot="1">
      <c r="B48" s="290" t="s">
        <v>43</v>
      </c>
      <c r="C48" s="291"/>
      <c r="D48" s="134"/>
      <c r="E48" s="135"/>
      <c r="F48" s="135"/>
      <c r="G48" s="136"/>
      <c r="H48" s="134"/>
      <c r="I48" s="135"/>
      <c r="J48" s="135"/>
      <c r="K48" s="136"/>
      <c r="L48" s="134"/>
      <c r="M48" s="135"/>
      <c r="N48" s="135"/>
      <c r="O48" s="136"/>
      <c r="P48" s="134"/>
      <c r="Q48" s="135"/>
      <c r="R48" s="135"/>
      <c r="S48" s="136"/>
    </row>
    <row r="49" spans="2:15" ht="13.5" thickBot="1"/>
    <row r="50" spans="2:15" ht="13.5" thickBot="1">
      <c r="B50" s="292" t="s">
        <v>44</v>
      </c>
      <c r="C50" s="293"/>
      <c r="D50" s="293"/>
      <c r="E50" s="293"/>
      <c r="F50" s="293"/>
      <c r="G50" s="294"/>
      <c r="J50" s="29"/>
      <c r="K50" s="29"/>
      <c r="L50" s="29"/>
      <c r="M50" s="29"/>
      <c r="N50" s="29"/>
      <c r="O50" s="29"/>
    </row>
    <row r="51" spans="2:15">
      <c r="B51" s="295" t="s">
        <v>45</v>
      </c>
      <c r="C51" s="296"/>
      <c r="D51" s="296"/>
      <c r="E51" s="296"/>
      <c r="F51" s="296"/>
      <c r="G51" s="297"/>
      <c r="J51" s="29"/>
      <c r="K51" s="29"/>
      <c r="L51" s="29"/>
      <c r="M51" s="29"/>
      <c r="N51" s="29"/>
      <c r="O51" s="29"/>
    </row>
    <row r="52" spans="2:15" ht="13.5" thickBot="1">
      <c r="B52" s="7"/>
      <c r="C52" s="8"/>
      <c r="E52" s="3" t="str">
        <f>IF(Worksheet!W31&gt;Worksheet!AA31,"EB","NB")</f>
        <v>NB</v>
      </c>
      <c r="F52" s="3" t="str">
        <f>IF(Worksheet!W$31&gt;Worksheet!AA$31,"WB","SB")</f>
        <v>SB</v>
      </c>
      <c r="G52" s="9"/>
      <c r="J52" s="8"/>
      <c r="K52" s="8"/>
      <c r="L52" s="8"/>
      <c r="M52" s="8"/>
      <c r="N52" s="258"/>
      <c r="O52" s="8"/>
    </row>
    <row r="53" spans="2:15">
      <c r="B53" s="286" t="str">
        <f>B36</f>
        <v>6:00-7:00 am</v>
      </c>
      <c r="C53" s="287"/>
      <c r="E53" s="132"/>
      <c r="F53" s="132"/>
      <c r="G53" s="9"/>
      <c r="J53" s="29"/>
      <c r="K53" s="29"/>
      <c r="L53" s="29"/>
      <c r="M53" s="256"/>
      <c r="N53" s="285"/>
      <c r="O53" s="8"/>
    </row>
    <row r="54" spans="2:15">
      <c r="B54" s="311" t="str">
        <f t="shared" ref="B54:B65" si="0">B37</f>
        <v>7:00-8:00 am</v>
      </c>
      <c r="C54" s="312"/>
      <c r="E54" s="132"/>
      <c r="F54" s="132"/>
      <c r="G54" s="9"/>
      <c r="J54" s="29"/>
      <c r="K54" s="29"/>
      <c r="L54" s="29"/>
      <c r="M54" s="256"/>
      <c r="N54" s="285"/>
      <c r="O54" s="8"/>
    </row>
    <row r="55" spans="2:15">
      <c r="B55" s="311" t="str">
        <f t="shared" si="0"/>
        <v>8:00-9:00 am</v>
      </c>
      <c r="C55" s="312"/>
      <c r="E55" s="132"/>
      <c r="F55" s="132"/>
      <c r="G55" s="9"/>
      <c r="J55" s="29"/>
      <c r="K55" s="29"/>
      <c r="L55" s="29"/>
      <c r="M55" s="256"/>
      <c r="N55" s="285"/>
      <c r="O55" s="8"/>
    </row>
    <row r="56" spans="2:15">
      <c r="B56" s="311" t="str">
        <f t="shared" si="0"/>
        <v>9:00-10:00 am</v>
      </c>
      <c r="C56" s="312"/>
      <c r="E56" s="132"/>
      <c r="F56" s="132"/>
      <c r="G56" s="9"/>
      <c r="J56" s="29"/>
      <c r="K56" s="29"/>
      <c r="L56" s="29"/>
      <c r="M56" s="256"/>
      <c r="N56" s="285"/>
      <c r="O56" s="8"/>
    </row>
    <row r="57" spans="2:15">
      <c r="B57" s="311" t="str">
        <f t="shared" si="0"/>
        <v>10:00-11:00 am</v>
      </c>
      <c r="C57" s="312"/>
      <c r="E57" s="132"/>
      <c r="F57" s="132"/>
      <c r="G57" s="9"/>
      <c r="J57" s="29"/>
      <c r="K57" s="29"/>
      <c r="L57" s="29"/>
      <c r="M57" s="256"/>
      <c r="N57" s="285"/>
      <c r="O57" s="8"/>
    </row>
    <row r="58" spans="2:15">
      <c r="B58" s="311" t="str">
        <f t="shared" si="0"/>
        <v>11:00-12:00 n</v>
      </c>
      <c r="C58" s="312"/>
      <c r="E58" s="132"/>
      <c r="F58" s="132"/>
      <c r="G58" s="9"/>
      <c r="J58" s="29"/>
      <c r="K58" s="29"/>
      <c r="L58" s="29"/>
      <c r="M58" s="256"/>
      <c r="N58" s="285"/>
      <c r="O58" s="8"/>
    </row>
    <row r="59" spans="2:15">
      <c r="B59" s="311" t="str">
        <f t="shared" si="0"/>
        <v>12:00-1:00 pm</v>
      </c>
      <c r="C59" s="312"/>
      <c r="E59" s="132"/>
      <c r="F59" s="132"/>
      <c r="G59" s="9"/>
      <c r="J59" s="29"/>
      <c r="K59" s="29"/>
      <c r="L59" s="29"/>
      <c r="M59" s="256"/>
      <c r="N59" s="285"/>
      <c r="O59" s="8"/>
    </row>
    <row r="60" spans="2:15">
      <c r="B60" s="311" t="str">
        <f t="shared" si="0"/>
        <v>1:00-2:00 pm</v>
      </c>
      <c r="C60" s="312"/>
      <c r="E60" s="132"/>
      <c r="F60" s="132"/>
      <c r="G60" s="9"/>
      <c r="J60" s="29"/>
      <c r="K60" s="29"/>
      <c r="L60" s="29"/>
      <c r="M60" s="256"/>
      <c r="N60" s="285"/>
      <c r="O60" s="8"/>
    </row>
    <row r="61" spans="2:15">
      <c r="B61" s="311" t="str">
        <f t="shared" si="0"/>
        <v>2:00-3:00 pm</v>
      </c>
      <c r="C61" s="312"/>
      <c r="E61" s="132"/>
      <c r="F61" s="132"/>
      <c r="G61" s="9"/>
      <c r="J61" s="29"/>
      <c r="K61" s="29"/>
      <c r="L61" s="29"/>
      <c r="M61" s="256"/>
      <c r="N61" s="285"/>
      <c r="O61" s="8"/>
    </row>
    <row r="62" spans="2:15">
      <c r="B62" s="311" t="str">
        <f t="shared" si="0"/>
        <v>3:00-4:00 pm</v>
      </c>
      <c r="C62" s="312"/>
      <c r="E62" s="132"/>
      <c r="F62" s="132"/>
      <c r="G62" s="9"/>
      <c r="J62" s="29"/>
      <c r="K62" s="29"/>
      <c r="L62" s="29"/>
      <c r="M62" s="256"/>
      <c r="N62" s="285"/>
      <c r="O62" s="8"/>
    </row>
    <row r="63" spans="2:15">
      <c r="B63" s="311" t="str">
        <f t="shared" si="0"/>
        <v>4:00-5:00 pm</v>
      </c>
      <c r="C63" s="312"/>
      <c r="E63" s="132"/>
      <c r="F63" s="132"/>
      <c r="G63" s="9"/>
      <c r="J63" s="29"/>
      <c r="K63" s="29"/>
      <c r="L63" s="29"/>
      <c r="M63" s="256"/>
      <c r="N63" s="285"/>
      <c r="O63" s="8"/>
    </row>
    <row r="64" spans="2:15">
      <c r="B64" s="311" t="str">
        <f t="shared" si="0"/>
        <v>5:00-6:00 pm</v>
      </c>
      <c r="C64" s="312"/>
      <c r="E64" s="132"/>
      <c r="F64" s="132"/>
      <c r="G64" s="9"/>
      <c r="J64" s="29"/>
      <c r="K64" s="29"/>
      <c r="L64" s="29"/>
      <c r="M64" s="256"/>
      <c r="N64" s="285"/>
      <c r="O64" s="8"/>
    </row>
    <row r="65" spans="2:15" ht="13.5" thickBot="1">
      <c r="B65" s="316" t="str">
        <f t="shared" si="0"/>
        <v>6:00-7:00 pm</v>
      </c>
      <c r="C65" s="317"/>
      <c r="D65" s="79"/>
      <c r="E65" s="135"/>
      <c r="F65" s="135"/>
      <c r="G65" s="11"/>
      <c r="J65" s="29"/>
      <c r="K65" s="29"/>
      <c r="L65" s="29"/>
      <c r="M65" s="256"/>
      <c r="N65" s="285"/>
      <c r="O65" s="8"/>
    </row>
  </sheetData>
  <sheetProtection algorithmName="SHA-512" hashValue="azip/pBP/crT+b4VjIkHlsJMrOHMA0q1Se8A2ogQT0j9vxNGOcaLvm+VooZSjhpneGmv6+SnXsdMHvR14LTXxA==" saltValue="GC3VDa3EzjUYVoMNgWWBgw==" spinCount="100000" sheet="1" objects="1" scenarios="1" selectLockedCells="1"/>
  <protectedRanges>
    <protectedRange sqref="B6:H6 K4:L4 K6:L6 Q6:R6 D9:H9 M9 R8 Q9:Q10 F13 I13 D16:H16 M16 R14:R15 F20 I20 D36:S48 E53:F65 N53:N65 M11 J12 M18 J19 R21 H24 N26 N28:N29 O30 Q16:Q17" name="Range1"/>
  </protectedRanges>
  <mergeCells count="46">
    <mergeCell ref="B64:C64"/>
    <mergeCell ref="B65:C65"/>
    <mergeCell ref="B60:C60"/>
    <mergeCell ref="B61:C61"/>
    <mergeCell ref="B63:C63"/>
    <mergeCell ref="B62:C62"/>
    <mergeCell ref="B59:C59"/>
    <mergeCell ref="B6:D6"/>
    <mergeCell ref="B58:C58"/>
    <mergeCell ref="B55:C55"/>
    <mergeCell ref="B56:C56"/>
    <mergeCell ref="B57:C57"/>
    <mergeCell ref="B54:C54"/>
    <mergeCell ref="B36:C36"/>
    <mergeCell ref="B37:C37"/>
    <mergeCell ref="B38:C38"/>
    <mergeCell ref="D34:G34"/>
    <mergeCell ref="B46:C46"/>
    <mergeCell ref="B39:C39"/>
    <mergeCell ref="B40:C40"/>
    <mergeCell ref="B41:C41"/>
    <mergeCell ref="B42:C42"/>
    <mergeCell ref="B2:S2"/>
    <mergeCell ref="B7:D7"/>
    <mergeCell ref="Q4:R4"/>
    <mergeCell ref="Q6:R6"/>
    <mergeCell ref="H34:K34"/>
    <mergeCell ref="F6:G6"/>
    <mergeCell ref="F7:G7"/>
    <mergeCell ref="K4:L4"/>
    <mergeCell ref="K6:L6"/>
    <mergeCell ref="D9:H9"/>
    <mergeCell ref="D16:H16"/>
    <mergeCell ref="B32:S32"/>
    <mergeCell ref="L8:Q8"/>
    <mergeCell ref="L15:Q15"/>
    <mergeCell ref="L34:O34"/>
    <mergeCell ref="P34:S34"/>
    <mergeCell ref="B53:C53"/>
    <mergeCell ref="B47:C47"/>
    <mergeCell ref="B48:C48"/>
    <mergeCell ref="B43:C43"/>
    <mergeCell ref="B44:C44"/>
    <mergeCell ref="B45:C45"/>
    <mergeCell ref="B50:G50"/>
    <mergeCell ref="B51:G51"/>
  </mergeCells>
  <phoneticPr fontId="7" type="noConversion"/>
  <dataValidations count="5">
    <dataValidation type="list" allowBlank="1" showInputMessage="1" showErrorMessage="1" sqref="Q17 M18 J19 R21 H24 N26 N28 O30 R14 J12 M11 Q10">
      <formula1>YesNo</formula1>
    </dataValidation>
    <dataValidation type="list" allowBlank="1" showInputMessage="1" showErrorMessage="1" sqref="Q16 Q9">
      <formula1>Lanes</formula1>
    </dataValidation>
    <dataValidation type="list" allowBlank="1" showInputMessage="1" showErrorMessage="1" sqref="R15">
      <formula1>YesNo</formula1>
    </dataValidation>
    <dataValidation type="list" allowBlank="1" showInputMessage="1" showErrorMessage="1" sqref="R8">
      <formula1>YesNo</formula1>
    </dataValidation>
    <dataValidation type="whole" allowBlank="1" showInputMessage="1" showErrorMessage="1" sqref="F13">
      <formula1>100</formula1>
      <formula2>10000</formula2>
    </dataValidation>
  </dataValidations>
  <printOptions horizontalCentered="1" verticalCentered="1"/>
  <pageMargins left="0.3" right="0.3" top="0.5" bottom="0.5" header="0.5" footer="0.5"/>
  <pageSetup scale="7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AE57"/>
  <sheetViews>
    <sheetView zoomScaleNormal="100" workbookViewId="0">
      <selection activeCell="L6" sqref="L6:M6"/>
    </sheetView>
  </sheetViews>
  <sheetFormatPr defaultRowHeight="12.75"/>
  <cols>
    <col min="1" max="1" width="1.7109375" style="241" customWidth="1"/>
    <col min="2" max="2" width="6.7109375" style="241" customWidth="1"/>
    <col min="3" max="3" width="5.85546875" style="241" customWidth="1"/>
    <col min="4" max="4" width="3.7109375" style="241" customWidth="1"/>
    <col min="5" max="5" width="6.42578125" style="241" customWidth="1"/>
    <col min="6" max="6" width="5.7109375" style="241" customWidth="1"/>
    <col min="7" max="7" width="6" style="241" customWidth="1"/>
    <col min="8" max="8" width="4" style="241" customWidth="1"/>
    <col min="9" max="9" width="4.28515625" style="241" customWidth="1"/>
    <col min="10" max="10" width="6.5703125" style="241" customWidth="1"/>
    <col min="11" max="11" width="5" style="241" customWidth="1"/>
    <col min="12" max="12" width="6.5703125" style="241" customWidth="1"/>
    <col min="13" max="13" width="5.7109375" style="241" customWidth="1"/>
    <col min="14" max="14" width="5.5703125" style="241" customWidth="1"/>
    <col min="15" max="15" width="6.5703125" style="31" customWidth="1"/>
    <col min="16" max="16" width="3.7109375" style="241" customWidth="1"/>
    <col min="17" max="18" width="2.85546875" style="241" customWidth="1"/>
    <col min="19" max="19" width="3.7109375" style="241" customWidth="1"/>
    <col min="20" max="20" width="1.7109375" style="241" customWidth="1"/>
    <col min="21" max="16384" width="9.140625" style="241"/>
  </cols>
  <sheetData>
    <row r="1" spans="1:31" ht="9" customHeight="1">
      <c r="A1" s="281"/>
      <c r="B1" s="143" t="s">
        <v>445</v>
      </c>
      <c r="C1" s="13"/>
      <c r="D1" s="13"/>
      <c r="E1" s="13"/>
      <c r="F1" s="13"/>
      <c r="G1" s="13"/>
      <c r="H1" s="13"/>
      <c r="I1" s="13"/>
      <c r="J1" s="13"/>
      <c r="K1" s="13"/>
      <c r="L1" s="13"/>
      <c r="M1" s="13"/>
      <c r="N1" s="13"/>
      <c r="O1" s="69"/>
      <c r="P1" s="13"/>
      <c r="Q1" s="13"/>
      <c r="R1" s="13"/>
      <c r="S1" s="144" t="s">
        <v>367</v>
      </c>
      <c r="T1" s="14"/>
    </row>
    <row r="2" spans="1:31" ht="15.75">
      <c r="A2" s="7"/>
      <c r="B2" s="299" t="s">
        <v>46</v>
      </c>
      <c r="C2" s="299"/>
      <c r="D2" s="299"/>
      <c r="E2" s="299"/>
      <c r="F2" s="299"/>
      <c r="G2" s="299"/>
      <c r="H2" s="299"/>
      <c r="I2" s="299"/>
      <c r="J2" s="299"/>
      <c r="K2" s="299"/>
      <c r="L2" s="299"/>
      <c r="M2" s="299"/>
      <c r="N2" s="299"/>
      <c r="O2" s="299"/>
      <c r="P2" s="299"/>
      <c r="Q2" s="299"/>
      <c r="R2" s="299"/>
      <c r="S2" s="299"/>
      <c r="T2" s="9"/>
    </row>
    <row r="3" spans="1:31" ht="15.75">
      <c r="A3" s="7"/>
      <c r="B3" s="299" t="s">
        <v>47</v>
      </c>
      <c r="C3" s="299"/>
      <c r="D3" s="299"/>
      <c r="E3" s="299"/>
      <c r="F3" s="299"/>
      <c r="G3" s="299"/>
      <c r="H3" s="299"/>
      <c r="I3" s="299"/>
      <c r="J3" s="299"/>
      <c r="K3" s="299"/>
      <c r="L3" s="299"/>
      <c r="M3" s="299"/>
      <c r="N3" s="299"/>
      <c r="O3" s="299"/>
      <c r="P3" s="299"/>
      <c r="Q3" s="299"/>
      <c r="R3" s="299"/>
      <c r="S3" s="299"/>
      <c r="T3" s="9"/>
    </row>
    <row r="4" spans="1:31" ht="15.75">
      <c r="A4" s="7"/>
      <c r="B4" s="299" t="s">
        <v>419</v>
      </c>
      <c r="C4" s="299"/>
      <c r="D4" s="299"/>
      <c r="E4" s="299"/>
      <c r="F4" s="299"/>
      <c r="G4" s="299"/>
      <c r="H4" s="299"/>
      <c r="I4" s="299"/>
      <c r="J4" s="299"/>
      <c r="K4" s="299"/>
      <c r="L4" s="299"/>
      <c r="M4" s="299"/>
      <c r="N4" s="299"/>
      <c r="O4" s="299"/>
      <c r="P4" s="299"/>
      <c r="Q4" s="299"/>
      <c r="R4" s="299"/>
      <c r="S4" s="299"/>
      <c r="T4" s="9"/>
    </row>
    <row r="5" spans="1:31" ht="12" customHeight="1">
      <c r="A5" s="7"/>
      <c r="B5" s="254"/>
      <c r="C5" s="254"/>
      <c r="D5" s="254"/>
      <c r="E5" s="254"/>
      <c r="F5" s="254"/>
      <c r="G5" s="254"/>
      <c r="H5" s="254"/>
      <c r="I5" s="254"/>
      <c r="J5" s="254"/>
      <c r="K5" s="254"/>
      <c r="L5" s="254"/>
      <c r="M5" s="254"/>
      <c r="N5" s="254"/>
      <c r="O5" s="254"/>
      <c r="P5" s="254"/>
      <c r="Q5" s="254"/>
      <c r="R5" s="254"/>
      <c r="S5" s="254"/>
      <c r="T5" s="9"/>
    </row>
    <row r="6" spans="1:31" s="248" customFormat="1">
      <c r="A6" s="7"/>
      <c r="B6" s="320" t="str">
        <f>IF('Input Sheet'!B6=0,"",'Input Sheet'!B6)</f>
        <v/>
      </c>
      <c r="C6" s="296"/>
      <c r="D6" s="296"/>
      <c r="E6" s="296"/>
      <c r="F6" s="257" t="str">
        <f>IF('Input Sheet'!E6=0,"",'Input Sheet'!E6)</f>
        <v/>
      </c>
      <c r="G6" s="320" t="str">
        <f>IF('Input Sheet'!F6=0,"",'Input Sheet'!F6)</f>
        <v/>
      </c>
      <c r="H6" s="296"/>
      <c r="I6" s="319"/>
      <c r="J6" s="8"/>
      <c r="K6" s="260"/>
      <c r="L6" s="382"/>
      <c r="M6" s="380"/>
      <c r="N6" s="8"/>
      <c r="O6" s="8"/>
      <c r="P6" s="384"/>
      <c r="Q6" s="385"/>
      <c r="R6" s="385"/>
      <c r="S6" s="385"/>
      <c r="T6" s="9"/>
    </row>
    <row r="7" spans="1:31" s="248" customFormat="1" ht="12.75" customHeight="1">
      <c r="A7" s="7"/>
      <c r="B7" s="388" t="s">
        <v>422</v>
      </c>
      <c r="C7" s="302"/>
      <c r="D7" s="302"/>
      <c r="E7" s="302"/>
      <c r="F7" s="258" t="s">
        <v>423</v>
      </c>
      <c r="G7" s="388" t="s">
        <v>424</v>
      </c>
      <c r="H7" s="302"/>
      <c r="I7" s="302"/>
      <c r="J7" s="8"/>
      <c r="K7" s="260"/>
      <c r="L7" s="383" t="s">
        <v>421</v>
      </c>
      <c r="M7" s="321"/>
      <c r="N7" s="8"/>
      <c r="O7" s="8"/>
      <c r="P7" s="386" t="s">
        <v>425</v>
      </c>
      <c r="Q7" s="386"/>
      <c r="R7" s="386"/>
      <c r="S7" s="386"/>
      <c r="T7" s="9"/>
      <c r="W7" s="249"/>
    </row>
    <row r="8" spans="1:31" s="248" customFormat="1" ht="12" customHeight="1">
      <c r="A8" s="7"/>
      <c r="B8" s="8"/>
      <c r="C8" s="8"/>
      <c r="D8" s="8"/>
      <c r="E8" s="8"/>
      <c r="F8" s="8"/>
      <c r="G8" s="8"/>
      <c r="H8" s="8"/>
      <c r="I8" s="8"/>
      <c r="J8" s="8"/>
      <c r="K8" s="8"/>
      <c r="L8" s="8"/>
      <c r="M8" s="8"/>
      <c r="N8" s="8"/>
      <c r="O8" s="8"/>
      <c r="P8" s="8"/>
      <c r="Q8" s="8"/>
      <c r="R8" s="8"/>
      <c r="S8" s="8"/>
      <c r="T8" s="9"/>
    </row>
    <row r="9" spans="1:31" s="248" customFormat="1" ht="13.15" customHeight="1">
      <c r="A9" s="7"/>
      <c r="B9" s="8" t="s">
        <v>49</v>
      </c>
      <c r="C9" s="8"/>
      <c r="D9" s="296" t="str">
        <f>IF(AND('Input Sheet'!$D$9=0,'Input Sheet'!$D$16=0),"",IF(Worksheet!$W$31&gt;Worksheet!$AA$31,'Input Sheet'!$D$9,'Input Sheet'!$D$16))</f>
        <v/>
      </c>
      <c r="E9" s="296"/>
      <c r="F9" s="296"/>
      <c r="G9" s="296"/>
      <c r="H9" s="296"/>
      <c r="I9" s="8"/>
      <c r="J9" s="8" t="s">
        <v>50</v>
      </c>
      <c r="K9" s="8"/>
      <c r="L9" s="296" t="str">
        <f>IF(AND('Input Sheet'!$D$9=0,'Input Sheet'!$D$16=0),"",IF(Worksheet!$W$31&gt;Worksheet!$AA$31,'Input Sheet'!$D$16,'Input Sheet'!$D$9))</f>
        <v/>
      </c>
      <c r="M9" s="296"/>
      <c r="N9" s="296"/>
      <c r="O9" s="296"/>
      <c r="P9" s="8"/>
      <c r="Q9" s="260"/>
      <c r="R9" s="29"/>
      <c r="S9" s="29"/>
      <c r="T9" s="9"/>
      <c r="Z9" s="247"/>
      <c r="AA9" s="29"/>
      <c r="AB9" s="250"/>
      <c r="AC9" s="29"/>
      <c r="AD9" s="29"/>
      <c r="AE9" s="8"/>
    </row>
    <row r="10" spans="1:31" s="248" customFormat="1" ht="12" customHeight="1">
      <c r="A10" s="7"/>
      <c r="B10" s="8"/>
      <c r="C10" s="8"/>
      <c r="D10" s="8"/>
      <c r="E10" s="8"/>
      <c r="F10" s="8"/>
      <c r="G10" s="29"/>
      <c r="H10" s="8"/>
      <c r="I10" s="8"/>
      <c r="J10" s="8"/>
      <c r="K10" s="8"/>
      <c r="L10" s="8"/>
      <c r="M10" s="8"/>
      <c r="N10" s="8"/>
      <c r="O10" s="8"/>
      <c r="P10" s="8"/>
      <c r="Q10" s="8"/>
      <c r="R10" s="8"/>
      <c r="S10" s="29"/>
      <c r="T10" s="9"/>
    </row>
    <row r="11" spans="1:31" s="248" customFormat="1" ht="13.15" customHeight="1">
      <c r="A11" s="7"/>
      <c r="B11" s="378" t="s">
        <v>431</v>
      </c>
      <c r="C11" s="378"/>
      <c r="D11" s="387"/>
      <c r="E11" s="387"/>
      <c r="F11" s="8"/>
      <c r="G11" s="378" t="s">
        <v>432</v>
      </c>
      <c r="H11" s="378"/>
      <c r="I11" s="387"/>
      <c r="J11" s="387"/>
      <c r="K11" s="8"/>
      <c r="L11" s="378" t="s">
        <v>430</v>
      </c>
      <c r="M11" s="378"/>
      <c r="N11" s="270" t="str">
        <f>IF(OR(D11=0,I11=0),"",(I11-D11)*24*60)</f>
        <v/>
      </c>
      <c r="O11" s="269" t="s">
        <v>443</v>
      </c>
      <c r="P11" s="8"/>
      <c r="Q11" s="8"/>
      <c r="R11" s="8"/>
      <c r="S11" s="29"/>
      <c r="T11" s="9"/>
    </row>
    <row r="12" spans="1:31" ht="12" customHeight="1">
      <c r="A12" s="7"/>
      <c r="B12" s="8"/>
      <c r="C12" s="8"/>
      <c r="D12" s="8"/>
      <c r="E12" s="8"/>
      <c r="F12" s="8"/>
      <c r="G12" s="8"/>
      <c r="H12" s="8"/>
      <c r="I12" s="8"/>
      <c r="J12" s="8"/>
      <c r="K12" s="8"/>
      <c r="L12" s="8"/>
      <c r="M12" s="8"/>
      <c r="N12" s="8"/>
      <c r="O12" s="29"/>
      <c r="P12" s="8"/>
      <c r="Q12" s="8"/>
      <c r="R12" s="8"/>
      <c r="S12" s="8"/>
      <c r="T12" s="9"/>
    </row>
    <row r="13" spans="1:31" s="248" customFormat="1" ht="13.15" customHeight="1">
      <c r="A13" s="7"/>
      <c r="B13" s="378" t="s">
        <v>429</v>
      </c>
      <c r="C13" s="378"/>
      <c r="D13" s="378"/>
      <c r="E13" s="378"/>
      <c r="F13" s="380"/>
      <c r="G13" s="380"/>
      <c r="H13" s="222" t="s">
        <v>420</v>
      </c>
      <c r="I13" s="378" t="s">
        <v>428</v>
      </c>
      <c r="J13" s="378"/>
      <c r="K13" s="378"/>
      <c r="L13" s="378"/>
      <c r="M13" s="378"/>
      <c r="N13" s="378"/>
      <c r="O13" s="263" t="str">
        <f>IF(F13=0,"",F13/3.5+3)</f>
        <v/>
      </c>
      <c r="P13" s="222" t="s">
        <v>433</v>
      </c>
      <c r="Q13" s="260"/>
      <c r="R13" s="29"/>
      <c r="S13" s="29"/>
      <c r="T13" s="9"/>
      <c r="Z13" s="247"/>
      <c r="AA13" s="29"/>
      <c r="AB13" s="250"/>
      <c r="AC13" s="29"/>
      <c r="AD13" s="29"/>
      <c r="AE13" s="8"/>
    </row>
    <row r="14" spans="1:31" s="248" customFormat="1" ht="13.15" customHeight="1">
      <c r="A14" s="7"/>
      <c r="B14" s="8"/>
      <c r="C14" s="8"/>
      <c r="D14" s="8"/>
      <c r="E14" s="267" t="s">
        <v>426</v>
      </c>
      <c r="F14" s="8"/>
      <c r="G14" s="265"/>
      <c r="H14" s="265"/>
      <c r="I14" s="379" t="s">
        <v>427</v>
      </c>
      <c r="J14" s="379"/>
      <c r="K14" s="379"/>
      <c r="L14" s="379"/>
      <c r="M14" s="379"/>
      <c r="N14" s="379"/>
      <c r="O14" s="379"/>
      <c r="P14" s="379"/>
      <c r="Q14" s="379"/>
      <c r="R14" s="379"/>
      <c r="S14" s="29"/>
      <c r="T14" s="9"/>
      <c r="Z14" s="247"/>
      <c r="AA14" s="29"/>
      <c r="AB14" s="250"/>
      <c r="AC14" s="29"/>
      <c r="AD14" s="29"/>
      <c r="AE14" s="8"/>
    </row>
    <row r="15" spans="1:31" s="248" customFormat="1" ht="12" customHeight="1">
      <c r="A15" s="7"/>
      <c r="B15" s="8"/>
      <c r="C15" s="8"/>
      <c r="D15" s="8"/>
      <c r="E15" s="8"/>
      <c r="F15" s="8"/>
      <c r="G15" s="8"/>
      <c r="H15" s="8"/>
      <c r="I15" s="8"/>
      <c r="J15" s="8"/>
      <c r="K15" s="8"/>
      <c r="L15" s="8"/>
      <c r="M15" s="8"/>
      <c r="N15" s="8"/>
      <c r="O15" s="29"/>
      <c r="P15" s="8"/>
      <c r="Q15" s="8"/>
      <c r="R15" s="8"/>
      <c r="S15" s="8"/>
      <c r="T15" s="9"/>
    </row>
    <row r="16" spans="1:31" s="248" customFormat="1">
      <c r="A16" s="7"/>
      <c r="B16" s="378" t="s">
        <v>442</v>
      </c>
      <c r="C16" s="378"/>
      <c r="D16" s="378"/>
      <c r="E16" s="378"/>
      <c r="F16" s="378"/>
      <c r="G16" s="378"/>
      <c r="H16" s="378"/>
      <c r="I16" s="378"/>
      <c r="J16" s="378"/>
      <c r="K16" s="378"/>
      <c r="L16" s="279"/>
      <c r="M16" s="189" t="s">
        <v>434</v>
      </c>
      <c r="N16" s="8"/>
      <c r="O16" s="29"/>
      <c r="P16" s="8"/>
      <c r="Q16" s="8"/>
      <c r="R16" s="8"/>
      <c r="S16" s="8"/>
      <c r="T16" s="9"/>
    </row>
    <row r="17" spans="1:31" ht="12" customHeight="1">
      <c r="A17" s="7"/>
      <c r="B17" s="8"/>
      <c r="C17" s="8"/>
      <c r="D17" s="8"/>
      <c r="E17" s="8"/>
      <c r="F17" s="8"/>
      <c r="G17" s="264"/>
      <c r="H17" s="265"/>
      <c r="I17" s="265"/>
      <c r="J17" s="8"/>
      <c r="K17" s="8"/>
      <c r="L17" s="8"/>
      <c r="M17" s="8"/>
      <c r="N17" s="8"/>
      <c r="O17" s="29"/>
      <c r="P17" s="8"/>
      <c r="Q17" s="8"/>
      <c r="R17" s="8"/>
      <c r="S17" s="8"/>
      <c r="T17" s="9"/>
    </row>
    <row r="18" spans="1:31">
      <c r="A18" s="7"/>
      <c r="B18" s="377" t="str">
        <f>IF(O13="","Number of gaps exceeding __ seconds",CONCATENATE("Number of gaps exceeding ",ROUND(O13,1)," (G) seconds "))</f>
        <v>Number of gaps exceeding __ seconds</v>
      </c>
      <c r="C18" s="377"/>
      <c r="D18" s="377"/>
      <c r="E18" s="377"/>
      <c r="F18" s="377"/>
      <c r="G18" s="377"/>
      <c r="H18" s="377"/>
      <c r="I18" s="377"/>
      <c r="J18" s="377"/>
      <c r="K18" s="377"/>
      <c r="L18" s="280"/>
      <c r="M18" s="189" t="s">
        <v>434</v>
      </c>
      <c r="N18" s="8"/>
      <c r="O18" s="29"/>
      <c r="P18" s="8"/>
      <c r="Q18" s="8"/>
      <c r="R18" s="8"/>
      <c r="S18" s="8"/>
      <c r="T18" s="9"/>
    </row>
    <row r="19" spans="1:31" s="248" customFormat="1" ht="12" customHeight="1">
      <c r="A19" s="7"/>
      <c r="B19" s="268"/>
      <c r="C19" s="268"/>
      <c r="D19" s="268"/>
      <c r="E19" s="268"/>
      <c r="F19" s="268"/>
      <c r="G19" s="268"/>
      <c r="H19" s="268"/>
      <c r="I19" s="268"/>
      <c r="J19" s="268"/>
      <c r="K19" s="268"/>
      <c r="L19" s="256"/>
      <c r="M19" s="8"/>
      <c r="N19" s="8"/>
      <c r="O19" s="29"/>
      <c r="P19" s="8"/>
      <c r="Q19" s="8"/>
      <c r="R19" s="8"/>
      <c r="S19" s="8"/>
      <c r="T19" s="9"/>
    </row>
    <row r="20" spans="1:31">
      <c r="A20" s="7"/>
      <c r="B20" s="377" t="str">
        <f>IF(O13="","Number of gaps exceeding __ (i.e., 2*G) seconds",CONCATENATE("Number of gaps exceeding ",ROUND(O13*2,1)," (i.e., 2 x G) seconds "))</f>
        <v>Number of gaps exceeding __ (i.e., 2*G) seconds</v>
      </c>
      <c r="C20" s="377"/>
      <c r="D20" s="377"/>
      <c r="E20" s="377"/>
      <c r="F20" s="377"/>
      <c r="G20" s="377"/>
      <c r="H20" s="377"/>
      <c r="I20" s="377"/>
      <c r="J20" s="377"/>
      <c r="K20" s="377"/>
      <c r="L20" s="280"/>
      <c r="M20" s="189" t="s">
        <v>434</v>
      </c>
      <c r="N20" s="8"/>
      <c r="O20" s="29"/>
      <c r="P20" s="8"/>
      <c r="Q20" s="8"/>
      <c r="R20" s="8"/>
      <c r="S20" s="8"/>
      <c r="T20" s="9"/>
    </row>
    <row r="21" spans="1:31" s="248" customFormat="1" ht="12" customHeight="1">
      <c r="A21" s="7"/>
      <c r="B21" s="8"/>
      <c r="C21" s="8"/>
      <c r="D21" s="8"/>
      <c r="E21" s="265"/>
      <c r="F21" s="265"/>
      <c r="G21" s="265"/>
      <c r="H21" s="265"/>
      <c r="I21" s="8"/>
      <c r="J21" s="8"/>
      <c r="K21" s="258"/>
      <c r="L21" s="258"/>
      <c r="M21" s="258"/>
      <c r="N21" s="266"/>
      <c r="O21" s="239"/>
      <c r="P21" s="222"/>
      <c r="Q21" s="260"/>
      <c r="R21" s="29"/>
      <c r="S21" s="29"/>
      <c r="T21" s="9"/>
      <c r="Z21" s="247"/>
      <c r="AA21" s="29"/>
      <c r="AB21" s="250"/>
      <c r="AC21" s="29"/>
      <c r="AD21" s="29"/>
      <c r="AE21" s="8"/>
    </row>
    <row r="22" spans="1:31">
      <c r="A22" s="7"/>
      <c r="B22" s="8" t="s">
        <v>438</v>
      </c>
      <c r="C22" s="8"/>
      <c r="D22" s="8"/>
      <c r="E22" s="8"/>
      <c r="F22" s="8"/>
      <c r="G22" s="8"/>
      <c r="H22" s="8"/>
      <c r="I22" s="8"/>
      <c r="J22" s="8"/>
      <c r="K22" s="8"/>
      <c r="L22" s="8"/>
      <c r="M22" s="8"/>
      <c r="N22" s="8"/>
      <c r="O22" s="280"/>
      <c r="P22" s="8"/>
      <c r="Q22" s="8"/>
      <c r="R22" s="8"/>
      <c r="S22" s="8"/>
      <c r="T22" s="9"/>
    </row>
    <row r="23" spans="1:31" s="259" customFormat="1" ht="12" customHeight="1">
      <c r="A23" s="7"/>
      <c r="B23" s="8"/>
      <c r="C23" s="8"/>
      <c r="D23" s="8"/>
      <c r="E23" s="8"/>
      <c r="F23" s="8"/>
      <c r="G23" s="8"/>
      <c r="H23" s="8"/>
      <c r="I23" s="8"/>
      <c r="J23" s="8"/>
      <c r="K23" s="8"/>
      <c r="L23" s="8"/>
      <c r="M23" s="8"/>
      <c r="N23" s="8"/>
      <c r="O23" s="256"/>
      <c r="P23" s="8"/>
      <c r="Q23" s="8"/>
      <c r="R23" s="8"/>
      <c r="S23" s="8"/>
      <c r="T23" s="9"/>
    </row>
    <row r="24" spans="1:31" s="259" customFormat="1">
      <c r="A24" s="7"/>
      <c r="B24" s="8" t="s">
        <v>439</v>
      </c>
      <c r="C24" s="8"/>
      <c r="D24" s="8"/>
      <c r="E24" s="8"/>
      <c r="F24" s="8"/>
      <c r="G24" s="8"/>
      <c r="H24" s="8"/>
      <c r="I24" s="8"/>
      <c r="J24" s="8"/>
      <c r="K24" s="8"/>
      <c r="L24" s="8"/>
      <c r="M24" s="8"/>
      <c r="N24" s="280"/>
      <c r="O24" s="8"/>
      <c r="P24" s="8"/>
      <c r="Q24" s="8"/>
      <c r="R24" s="8"/>
      <c r="S24" s="8"/>
      <c r="T24" s="9"/>
    </row>
    <row r="25" spans="1:31" ht="12" customHeight="1">
      <c r="A25" s="7"/>
      <c r="B25" s="8"/>
      <c r="C25" s="8"/>
      <c r="D25" s="8"/>
      <c r="E25" s="8"/>
      <c r="F25" s="8"/>
      <c r="G25" s="8"/>
      <c r="H25" s="8"/>
      <c r="I25" s="8"/>
      <c r="J25" s="8"/>
      <c r="K25" s="8"/>
      <c r="L25" s="8"/>
      <c r="M25" s="8"/>
      <c r="N25" s="8"/>
      <c r="O25" s="29"/>
      <c r="P25" s="8"/>
      <c r="Q25" s="8"/>
      <c r="R25" s="8"/>
      <c r="S25" s="8"/>
      <c r="T25" s="9"/>
    </row>
    <row r="26" spans="1:31" s="248" customFormat="1" ht="6" customHeight="1" thickBot="1">
      <c r="A26" s="7"/>
      <c r="B26" s="10"/>
      <c r="C26" s="10"/>
      <c r="D26" s="10"/>
      <c r="E26" s="10"/>
      <c r="F26" s="10"/>
      <c r="G26" s="70"/>
      <c r="H26" s="10"/>
      <c r="I26" s="10"/>
      <c r="J26" s="10"/>
      <c r="K26" s="10"/>
      <c r="L26" s="10"/>
      <c r="M26" s="10"/>
      <c r="N26" s="10"/>
      <c r="O26" s="10"/>
      <c r="P26" s="10"/>
      <c r="Q26" s="10"/>
      <c r="R26" s="10"/>
      <c r="S26" s="70"/>
      <c r="T26" s="9"/>
    </row>
    <row r="27" spans="1:31" s="248" customFormat="1" ht="6" customHeight="1">
      <c r="A27" s="7"/>
      <c r="B27" s="8"/>
      <c r="C27" s="8"/>
      <c r="D27" s="8"/>
      <c r="E27" s="8"/>
      <c r="F27" s="8"/>
      <c r="G27" s="8"/>
      <c r="H27" s="8"/>
      <c r="I27" s="8"/>
      <c r="J27" s="8"/>
      <c r="K27" s="8"/>
      <c r="L27" s="8"/>
      <c r="M27" s="8"/>
      <c r="N27" s="8"/>
      <c r="O27" s="8"/>
      <c r="P27" s="8"/>
      <c r="Q27" s="8"/>
      <c r="R27" s="8"/>
      <c r="S27" s="8"/>
      <c r="T27" s="9"/>
      <c r="Z27" s="8"/>
      <c r="AA27" s="29"/>
      <c r="AB27" s="8"/>
      <c r="AC27" s="8"/>
      <c r="AD27" s="8"/>
      <c r="AE27" s="8"/>
    </row>
    <row r="28" spans="1:31" ht="21" customHeight="1">
      <c r="A28" s="7"/>
      <c r="B28" s="24" t="s">
        <v>413</v>
      </c>
      <c r="C28" s="8"/>
      <c r="D28" s="8"/>
      <c r="E28" s="8"/>
      <c r="F28" s="8"/>
      <c r="G28" s="8"/>
      <c r="H28" s="8"/>
      <c r="I28" s="8"/>
      <c r="J28" s="8"/>
      <c r="K28" s="8"/>
      <c r="L28" s="8"/>
      <c r="M28" s="8"/>
      <c r="N28" s="8"/>
      <c r="O28" s="29"/>
      <c r="P28" s="8"/>
      <c r="Q28" s="8"/>
      <c r="R28" s="8"/>
      <c r="S28" s="8"/>
      <c r="T28" s="9"/>
    </row>
    <row r="29" spans="1:31" ht="13.15" customHeight="1">
      <c r="A29" s="7"/>
      <c r="B29" s="118"/>
      <c r="C29" s="8"/>
      <c r="D29" s="8"/>
      <c r="E29" s="8"/>
      <c r="F29" s="8"/>
      <c r="G29" s="29"/>
      <c r="H29" s="99"/>
      <c r="I29" s="8"/>
      <c r="J29" s="8"/>
      <c r="K29" s="26"/>
      <c r="L29" s="26"/>
      <c r="M29" s="26"/>
      <c r="N29" s="26" t="s">
        <v>412</v>
      </c>
      <c r="O29" s="26" t="s">
        <v>73</v>
      </c>
      <c r="P29" s="46" t="str">
        <f>IF('Input Sheet'!$N$28="Yes","X","")</f>
        <v/>
      </c>
      <c r="Q29" s="8"/>
      <c r="R29" s="26" t="s">
        <v>74</v>
      </c>
      <c r="S29" s="46" t="str">
        <f>IF(P29="X","","X")</f>
        <v>X</v>
      </c>
      <c r="T29" s="9"/>
    </row>
    <row r="30" spans="1:31" ht="9" customHeight="1">
      <c r="A30" s="7"/>
      <c r="B30" s="8"/>
      <c r="C30" s="8"/>
      <c r="D30" s="29"/>
      <c r="E30" s="29"/>
      <c r="F30" s="29"/>
      <c r="G30" s="8"/>
      <c r="H30" s="8"/>
      <c r="I30" s="8"/>
      <c r="J30" s="8"/>
      <c r="K30" s="8"/>
      <c r="L30" s="8"/>
      <c r="M30" s="8"/>
      <c r="N30" s="8"/>
      <c r="O30" s="8"/>
      <c r="P30" s="8"/>
      <c r="Q30" s="8"/>
      <c r="R30" s="8"/>
      <c r="S30" s="8"/>
      <c r="T30" s="9"/>
    </row>
    <row r="31" spans="1:31">
      <c r="A31" s="7"/>
      <c r="B31" s="25"/>
      <c r="C31" s="8"/>
      <c r="D31" s="8"/>
      <c r="E31" s="8"/>
      <c r="F31" s="8"/>
      <c r="G31" s="8"/>
      <c r="H31" s="8"/>
      <c r="I31" s="8"/>
      <c r="J31" s="8"/>
      <c r="K31" s="30"/>
      <c r="L31" s="30"/>
      <c r="M31" s="30"/>
      <c r="N31" s="26" t="s">
        <v>411</v>
      </c>
      <c r="O31" s="26" t="s">
        <v>73</v>
      </c>
      <c r="P31" s="59" t="str">
        <f>IF(AND(P35="X",P38="X",P41="X"),"X","")</f>
        <v/>
      </c>
      <c r="Q31" s="8"/>
      <c r="R31" s="26" t="s">
        <v>74</v>
      </c>
      <c r="S31" s="46" t="str">
        <f>IF(P31="X","","X")</f>
        <v>X</v>
      </c>
      <c r="T31" s="9"/>
    </row>
    <row r="32" spans="1:31" ht="9" customHeight="1">
      <c r="A32" s="7"/>
      <c r="B32" s="25"/>
      <c r="C32" s="8"/>
      <c r="D32" s="8"/>
      <c r="E32" s="8"/>
      <c r="F32" s="8"/>
      <c r="G32" s="8"/>
      <c r="H32" s="8"/>
      <c r="I32" s="8"/>
      <c r="J32" s="8"/>
      <c r="K32" s="30"/>
      <c r="L32" s="30"/>
      <c r="M32" s="30"/>
      <c r="N32" s="29"/>
      <c r="O32" s="26"/>
      <c r="P32" s="262"/>
      <c r="Q32" s="8"/>
      <c r="R32" s="26"/>
      <c r="S32" s="262"/>
      <c r="T32" s="9"/>
      <c r="Y32" s="259"/>
    </row>
    <row r="33" spans="1:25" ht="13.15" customHeight="1">
      <c r="A33" s="7"/>
      <c r="B33" s="87"/>
      <c r="C33" s="32"/>
      <c r="D33" s="32"/>
      <c r="E33" s="32"/>
      <c r="F33" s="32"/>
      <c r="G33" s="32"/>
      <c r="H33" s="32"/>
      <c r="I33" s="32"/>
      <c r="J33" s="32"/>
      <c r="K33" s="32"/>
      <c r="L33" s="32"/>
      <c r="M33" s="32"/>
      <c r="N33" s="32"/>
      <c r="O33" s="289" t="s">
        <v>89</v>
      </c>
      <c r="P33" s="347"/>
      <c r="Q33" s="347"/>
      <c r="R33" s="347"/>
      <c r="S33" s="312"/>
      <c r="T33" s="9"/>
      <c r="X33" s="259"/>
    </row>
    <row r="34" spans="1:25" ht="9" customHeight="1">
      <c r="A34" s="7"/>
      <c r="B34" s="90"/>
      <c r="C34" s="28"/>
      <c r="D34" s="28"/>
      <c r="E34" s="28"/>
      <c r="F34" s="28"/>
      <c r="G34" s="28"/>
      <c r="H34" s="28"/>
      <c r="I34" s="28"/>
      <c r="J34" s="28"/>
      <c r="K34" s="28"/>
      <c r="L34" s="28"/>
      <c r="M34" s="28"/>
      <c r="N34" s="35"/>
      <c r="O34" s="8"/>
      <c r="P34" s="8"/>
      <c r="Q34" s="8"/>
      <c r="R34" s="8"/>
      <c r="S34" s="34"/>
      <c r="T34" s="9"/>
      <c r="Y34" s="259"/>
    </row>
    <row r="35" spans="1:25">
      <c r="A35" s="7"/>
      <c r="B35" s="242" t="s">
        <v>414</v>
      </c>
      <c r="C35" s="8"/>
      <c r="D35" s="8"/>
      <c r="E35" s="282"/>
      <c r="F35" s="283"/>
      <c r="G35" s="243"/>
      <c r="H35" s="243"/>
      <c r="I35" s="243"/>
      <c r="J35" s="283"/>
      <c r="K35" s="8"/>
      <c r="L35" s="282"/>
      <c r="M35" s="283"/>
      <c r="N35" s="40" t="s">
        <v>96</v>
      </c>
      <c r="O35" s="63" t="s">
        <v>87</v>
      </c>
      <c r="P35" s="46" t="str">
        <f>IF(L16&gt;=20,"X","")</f>
        <v/>
      </c>
      <c r="Q35" s="37"/>
      <c r="R35" s="272" t="s">
        <v>57</v>
      </c>
      <c r="S35" s="46" t="str">
        <f>IF(P35="X","","X")</f>
        <v>X</v>
      </c>
      <c r="T35" s="9"/>
    </row>
    <row r="36" spans="1:25" ht="13.15" customHeight="1">
      <c r="A36" s="7"/>
      <c r="B36" s="87" t="s">
        <v>415</v>
      </c>
      <c r="C36" s="32"/>
      <c r="D36" s="32"/>
      <c r="E36" s="32"/>
      <c r="F36" s="28"/>
      <c r="G36" s="28"/>
      <c r="H36" s="28"/>
      <c r="I36" s="28"/>
      <c r="J36" s="32"/>
      <c r="K36" s="32"/>
      <c r="L36" s="32"/>
      <c r="M36" s="28"/>
      <c r="N36" s="34"/>
      <c r="O36" s="41"/>
      <c r="P36" s="8"/>
      <c r="Q36" s="8"/>
      <c r="R36" s="8"/>
      <c r="S36" s="35"/>
      <c r="T36" s="9"/>
    </row>
    <row r="37" spans="1:25" s="248" customFormat="1" ht="13.15" customHeight="1">
      <c r="A37" s="7"/>
      <c r="B37" s="244" t="s">
        <v>416</v>
      </c>
      <c r="C37" s="28"/>
      <c r="D37" s="28"/>
      <c r="E37" s="28"/>
      <c r="F37" s="28"/>
      <c r="G37" s="28"/>
      <c r="H37" s="28"/>
      <c r="I37" s="28"/>
      <c r="J37" s="28"/>
      <c r="K37" s="28"/>
      <c r="L37" s="28"/>
      <c r="M37" s="28"/>
      <c r="N37" s="35"/>
      <c r="O37" s="36"/>
      <c r="P37" s="8"/>
      <c r="Q37" s="8"/>
      <c r="R37" s="8"/>
      <c r="S37" s="35"/>
      <c r="T37" s="9"/>
    </row>
    <row r="38" spans="1:25">
      <c r="A38" s="7"/>
      <c r="B38" s="244" t="str">
        <f>CONCATENATE("     Effective total number of gaps available = ",L18+2*L20)</f>
        <v xml:space="preserve">     Effective total number of gaps available = 0</v>
      </c>
      <c r="C38" s="28"/>
      <c r="D38" s="28"/>
      <c r="E38" s="28"/>
      <c r="F38" s="28"/>
      <c r="G38" s="28"/>
      <c r="H38" s="28"/>
      <c r="I38" s="28"/>
      <c r="J38" s="28"/>
      <c r="K38" s="28"/>
      <c r="L38" s="28"/>
      <c r="M38" s="28"/>
      <c r="N38" s="40" t="s">
        <v>96</v>
      </c>
      <c r="O38" s="63" t="s">
        <v>87</v>
      </c>
      <c r="P38" s="46" t="str">
        <f>IF(AND(L18+2*L20&lt;N11,NOT(ISBLANK(L18))),"X","")</f>
        <v/>
      </c>
      <c r="Q38" s="37"/>
      <c r="R38" s="38" t="s">
        <v>57</v>
      </c>
      <c r="S38" s="46" t="str">
        <f>IF(P38="X","","X")</f>
        <v>X</v>
      </c>
      <c r="T38" s="9"/>
    </row>
    <row r="39" spans="1:25" ht="13.15" customHeight="1">
      <c r="A39" s="7"/>
      <c r="B39" s="245" t="s">
        <v>417</v>
      </c>
      <c r="C39" s="33"/>
      <c r="D39" s="33"/>
      <c r="E39" s="33"/>
      <c r="F39" s="33"/>
      <c r="G39" s="33"/>
      <c r="H39" s="33"/>
      <c r="I39" s="33"/>
      <c r="J39" s="33"/>
      <c r="K39" s="33"/>
      <c r="L39" s="33"/>
      <c r="M39" s="33"/>
      <c r="N39" s="34"/>
      <c r="O39" s="41"/>
      <c r="P39" s="8"/>
      <c r="Q39" s="8"/>
      <c r="R39" s="33"/>
      <c r="S39" s="35"/>
      <c r="T39" s="9"/>
    </row>
    <row r="40" spans="1:25" ht="13.15" customHeight="1">
      <c r="A40" s="7"/>
      <c r="B40" s="246" t="s">
        <v>436</v>
      </c>
      <c r="C40" s="8"/>
      <c r="D40" s="8"/>
      <c r="E40" s="8"/>
      <c r="F40" s="8"/>
      <c r="G40" s="8"/>
      <c r="H40" s="8"/>
      <c r="I40" s="8"/>
      <c r="J40" s="8"/>
      <c r="K40" s="8"/>
      <c r="L40" s="8"/>
      <c r="M40" s="8"/>
      <c r="N40" s="35"/>
      <c r="O40" s="36"/>
      <c r="P40" s="2"/>
      <c r="Q40" s="8"/>
      <c r="R40" s="8"/>
      <c r="S40" s="35"/>
      <c r="T40" s="9"/>
    </row>
    <row r="41" spans="1:25" ht="13.15" customHeight="1">
      <c r="A41" s="7"/>
      <c r="B41" s="242" t="s">
        <v>435</v>
      </c>
      <c r="C41" s="2"/>
      <c r="D41" s="2"/>
      <c r="E41" s="2"/>
      <c r="F41" s="2"/>
      <c r="G41" s="2"/>
      <c r="H41" s="2"/>
      <c r="I41" s="271" t="s">
        <v>437</v>
      </c>
      <c r="J41" s="320" t="str">
        <f>IF(AND('Input Sheet'!$D$9=0,'Input Sheet'!$D$16=0),"",IF(Worksheet!$W$31&gt;Worksheet!$AA$31,'Pg 3'!$D$10,'Pg 3'!$F$10))</f>
        <v/>
      </c>
      <c r="K41" s="319"/>
      <c r="L41" s="320" t="str">
        <f>IF(AND('Input Sheet'!$D$9=0,'Input Sheet'!$D$16=0),"",IF(Worksheet!$W$31&gt;Worksheet!$AA$31,'Pg 3'!$E$10,'Pg 3'!$I$10))</f>
        <v/>
      </c>
      <c r="M41" s="319"/>
      <c r="N41" s="42"/>
      <c r="O41" s="63" t="s">
        <v>87</v>
      </c>
      <c r="P41" s="46" t="str">
        <f>IF(O22="No","X",IF(O22="Yes",IF(N24="No","X",""),""))</f>
        <v/>
      </c>
      <c r="Q41" s="37"/>
      <c r="R41" s="38" t="s">
        <v>57</v>
      </c>
      <c r="S41" s="46" t="str">
        <f>IF(P41="X","","X")</f>
        <v>X</v>
      </c>
      <c r="T41" s="9"/>
    </row>
    <row r="42" spans="1:25" s="259" customFormat="1" ht="9" customHeight="1">
      <c r="A42" s="7"/>
      <c r="B42" s="86"/>
      <c r="C42" s="8"/>
      <c r="D42" s="8"/>
      <c r="E42" s="8"/>
      <c r="F42" s="8"/>
      <c r="G42" s="8"/>
      <c r="H42" s="8"/>
      <c r="I42" s="190"/>
      <c r="J42" s="256"/>
      <c r="K42" s="256"/>
      <c r="L42" s="256"/>
      <c r="M42" s="256"/>
      <c r="N42" s="8"/>
      <c r="O42" s="260"/>
      <c r="P42" s="99"/>
      <c r="Q42" s="8"/>
      <c r="R42" s="260"/>
      <c r="S42" s="99"/>
      <c r="T42" s="9"/>
    </row>
    <row r="43" spans="1:25" ht="12.75" customHeight="1">
      <c r="A43" s="7"/>
      <c r="B43" s="278" t="s">
        <v>441</v>
      </c>
      <c r="C43" s="8"/>
      <c r="D43" s="29"/>
      <c r="E43" s="29"/>
      <c r="F43" s="29"/>
      <c r="G43" s="8"/>
      <c r="H43" s="8"/>
      <c r="I43" s="8"/>
      <c r="J43" s="8"/>
      <c r="K43" s="8"/>
      <c r="L43" s="8"/>
      <c r="M43" s="8"/>
      <c r="N43" s="8"/>
      <c r="O43" s="8"/>
      <c r="P43" s="8"/>
      <c r="Q43" s="8"/>
      <c r="R43" s="8"/>
      <c r="S43" s="8"/>
      <c r="T43" s="9"/>
    </row>
    <row r="44" spans="1:25" ht="39" customHeight="1">
      <c r="A44" s="7"/>
      <c r="B44" s="381" t="s">
        <v>440</v>
      </c>
      <c r="C44" s="381"/>
      <c r="D44" s="381"/>
      <c r="E44" s="381"/>
      <c r="F44" s="381"/>
      <c r="G44" s="381"/>
      <c r="H44" s="381"/>
      <c r="I44" s="381"/>
      <c r="J44" s="381"/>
      <c r="K44" s="381"/>
      <c r="L44" s="381"/>
      <c r="M44" s="381"/>
      <c r="N44" s="381"/>
      <c r="O44" s="381"/>
      <c r="P44" s="381"/>
      <c r="Q44" s="381"/>
      <c r="R44" s="381"/>
      <c r="S44" s="381"/>
      <c r="T44" s="9"/>
    </row>
    <row r="45" spans="1:25">
      <c r="A45" s="7"/>
      <c r="B45" s="25"/>
      <c r="C45" s="8"/>
      <c r="D45" s="8"/>
      <c r="E45" s="8"/>
      <c r="F45" s="8"/>
      <c r="G45" s="8"/>
      <c r="H45" s="8"/>
      <c r="I45" s="8"/>
      <c r="J45" s="8"/>
      <c r="K45" s="8"/>
      <c r="L45" s="8"/>
      <c r="M45" s="8"/>
      <c r="N45" s="8"/>
      <c r="O45" s="29"/>
      <c r="P45" s="8"/>
      <c r="Q45" s="8"/>
      <c r="R45" s="8"/>
      <c r="S45" s="8"/>
      <c r="T45" s="9"/>
    </row>
    <row r="46" spans="1:25">
      <c r="A46" s="7"/>
      <c r="B46" s="25"/>
      <c r="C46" s="8"/>
      <c r="D46" s="8"/>
      <c r="E46" s="8"/>
      <c r="F46" s="8"/>
      <c r="G46" s="8"/>
      <c r="H46" s="8"/>
      <c r="I46" s="8"/>
      <c r="J46" s="8"/>
      <c r="K46" s="8"/>
      <c r="L46" s="8"/>
      <c r="M46" s="8"/>
      <c r="N46" s="8"/>
      <c r="O46" s="29"/>
      <c r="P46" s="8"/>
      <c r="Q46" s="8"/>
      <c r="R46" s="8"/>
      <c r="S46" s="8"/>
      <c r="T46" s="9"/>
    </row>
    <row r="47" spans="1:25" s="259" customFormat="1">
      <c r="A47" s="7"/>
      <c r="B47" s="8"/>
      <c r="C47" s="8"/>
      <c r="D47" s="8"/>
      <c r="E47" s="8"/>
      <c r="F47" s="8"/>
      <c r="G47" s="8"/>
      <c r="H47" s="8"/>
      <c r="I47" s="8"/>
      <c r="J47" s="8"/>
      <c r="K47" s="8"/>
      <c r="L47" s="8"/>
      <c r="M47" s="8"/>
      <c r="N47" s="8"/>
      <c r="O47" s="29"/>
      <c r="P47" s="8"/>
      <c r="Q47" s="8"/>
      <c r="R47" s="8"/>
      <c r="S47" s="8"/>
      <c r="T47" s="9"/>
    </row>
    <row r="48" spans="1:25" s="259" customFormat="1">
      <c r="A48" s="7"/>
      <c r="B48" s="8"/>
      <c r="C48" s="8"/>
      <c r="D48" s="8"/>
      <c r="E48" s="8"/>
      <c r="F48" s="8"/>
      <c r="G48" s="8"/>
      <c r="H48" s="8"/>
      <c r="I48" s="8"/>
      <c r="J48" s="8"/>
      <c r="K48" s="8"/>
      <c r="L48" s="8"/>
      <c r="M48" s="8"/>
      <c r="N48" s="8"/>
      <c r="O48" s="29"/>
      <c r="P48" s="8"/>
      <c r="Q48" s="8"/>
      <c r="R48" s="8"/>
      <c r="S48" s="8"/>
      <c r="T48" s="9"/>
    </row>
    <row r="49" spans="1:20">
      <c r="A49" s="7"/>
      <c r="C49" s="8"/>
      <c r="D49" s="8"/>
      <c r="E49" s="8"/>
      <c r="F49" s="8"/>
      <c r="G49" s="8"/>
      <c r="H49" s="8"/>
      <c r="I49" s="8"/>
      <c r="J49" s="8"/>
      <c r="K49" s="8"/>
      <c r="L49" s="8"/>
      <c r="M49" s="8"/>
      <c r="N49" s="8"/>
      <c r="O49" s="29"/>
      <c r="P49" s="8"/>
      <c r="Q49" s="8"/>
      <c r="R49" s="8"/>
      <c r="S49" s="8"/>
      <c r="T49" s="9"/>
    </row>
    <row r="50" spans="1:20">
      <c r="A50" s="7"/>
      <c r="C50" s="8"/>
      <c r="D50" s="8"/>
      <c r="E50" s="8"/>
      <c r="F50" s="8"/>
      <c r="G50" s="8"/>
      <c r="H50" s="8"/>
      <c r="I50" s="8"/>
      <c r="J50" s="8"/>
      <c r="K50" s="8"/>
      <c r="L50" s="8"/>
      <c r="M50" s="8"/>
      <c r="N50" s="8"/>
      <c r="O50" s="29"/>
      <c r="P50" s="8"/>
      <c r="Q50" s="8"/>
      <c r="R50" s="8"/>
      <c r="S50" s="8"/>
      <c r="T50" s="9"/>
    </row>
    <row r="51" spans="1:20">
      <c r="A51" s="7"/>
      <c r="C51" s="8"/>
      <c r="D51" s="8"/>
      <c r="E51" s="8"/>
      <c r="F51" s="8"/>
      <c r="G51" s="8"/>
      <c r="H51" s="8"/>
      <c r="I51" s="8"/>
      <c r="J51" s="8"/>
      <c r="K51" s="8"/>
      <c r="L51" s="8"/>
      <c r="M51" s="8"/>
      <c r="N51" s="8"/>
      <c r="O51" s="29"/>
      <c r="P51" s="8"/>
      <c r="Q51" s="8"/>
      <c r="R51" s="8"/>
      <c r="S51" s="8"/>
      <c r="T51" s="9"/>
    </row>
    <row r="52" spans="1:20">
      <c r="A52" s="7"/>
      <c r="B52" s="8"/>
      <c r="C52" s="8"/>
      <c r="D52" s="8"/>
      <c r="E52" s="8"/>
      <c r="F52" s="8"/>
      <c r="G52" s="8"/>
      <c r="H52" s="8"/>
      <c r="I52" s="8"/>
      <c r="J52" s="8"/>
      <c r="K52" s="8"/>
      <c r="L52" s="8"/>
      <c r="M52" s="8"/>
      <c r="N52" s="8"/>
      <c r="O52" s="29"/>
      <c r="P52" s="8"/>
      <c r="Q52" s="8"/>
      <c r="R52" s="8"/>
      <c r="S52" s="8"/>
      <c r="T52" s="9"/>
    </row>
    <row r="53" spans="1:20">
      <c r="A53" s="7"/>
      <c r="B53" s="8"/>
      <c r="C53" s="8"/>
      <c r="D53" s="8"/>
      <c r="E53" s="8"/>
      <c r="F53" s="8"/>
      <c r="G53" s="8"/>
      <c r="H53" s="8"/>
      <c r="I53" s="8"/>
      <c r="J53" s="8"/>
      <c r="K53" s="8"/>
      <c r="L53" s="8"/>
      <c r="M53" s="8"/>
      <c r="N53" s="8"/>
      <c r="O53" s="29"/>
      <c r="P53" s="8"/>
      <c r="Q53" s="8"/>
      <c r="R53" s="8"/>
      <c r="S53" s="8"/>
      <c r="T53" s="9"/>
    </row>
    <row r="54" spans="1:20">
      <c r="A54" s="7"/>
      <c r="B54" s="8"/>
      <c r="C54" s="8"/>
      <c r="D54" s="8"/>
      <c r="E54" s="8"/>
      <c r="F54" s="8"/>
      <c r="G54" s="8"/>
      <c r="H54" s="8"/>
      <c r="I54" s="8"/>
      <c r="J54" s="8"/>
      <c r="K54" s="8"/>
      <c r="L54" s="8"/>
      <c r="M54" s="8"/>
      <c r="N54" s="8"/>
      <c r="O54" s="29"/>
      <c r="P54" s="8"/>
      <c r="Q54" s="8"/>
      <c r="R54" s="8"/>
      <c r="S54" s="8"/>
      <c r="T54" s="9"/>
    </row>
    <row r="55" spans="1:20">
      <c r="A55" s="7"/>
      <c r="B55" s="8"/>
      <c r="C55" s="8"/>
      <c r="D55" s="8"/>
      <c r="E55" s="8"/>
      <c r="F55" s="8"/>
      <c r="G55" s="8"/>
      <c r="H55" s="8"/>
      <c r="I55" s="8"/>
      <c r="J55" s="8"/>
      <c r="K55" s="8"/>
      <c r="L55" s="8"/>
      <c r="M55" s="8"/>
      <c r="N55" s="8"/>
      <c r="O55" s="29"/>
      <c r="P55" s="8"/>
      <c r="Q55" s="8"/>
      <c r="R55" s="8"/>
      <c r="S55" s="8"/>
      <c r="T55" s="9"/>
    </row>
    <row r="56" spans="1:20">
      <c r="A56" s="7"/>
      <c r="B56" s="8"/>
      <c r="C56" s="8"/>
      <c r="D56" s="8"/>
      <c r="E56" s="8"/>
      <c r="F56" s="8"/>
      <c r="G56" s="8"/>
      <c r="H56" s="8"/>
      <c r="I56" s="8"/>
      <c r="J56" s="8"/>
      <c r="K56" s="8"/>
      <c r="L56" s="8"/>
      <c r="M56" s="8"/>
      <c r="N56" s="8"/>
      <c r="O56" s="29"/>
      <c r="P56" s="8"/>
      <c r="Q56" s="8"/>
      <c r="R56" s="8"/>
      <c r="S56" s="8"/>
      <c r="T56" s="9"/>
    </row>
    <row r="57" spans="1:20" ht="9" customHeight="1" thickBot="1">
      <c r="A57" s="27" t="s">
        <v>48</v>
      </c>
      <c r="B57" s="10"/>
      <c r="C57" s="10"/>
      <c r="D57" s="10"/>
      <c r="E57" s="10"/>
      <c r="F57" s="10"/>
      <c r="G57" s="10"/>
      <c r="H57" s="10"/>
      <c r="I57" s="10"/>
      <c r="J57" s="10"/>
      <c r="K57" s="10"/>
      <c r="L57" s="10"/>
      <c r="M57" s="10"/>
      <c r="N57" s="10"/>
      <c r="O57" s="70"/>
      <c r="P57" s="10"/>
      <c r="Q57" s="10"/>
      <c r="R57" s="10"/>
      <c r="S57" s="10"/>
      <c r="T57" s="11"/>
    </row>
  </sheetData>
  <sheetProtection password="E0BD" sheet="1" objects="1" scenarios="1" selectLockedCells="1"/>
  <protectedRanges>
    <protectedRange sqref="H29" name="Range1"/>
  </protectedRanges>
  <mergeCells count="29">
    <mergeCell ref="B44:S44"/>
    <mergeCell ref="B4:S4"/>
    <mergeCell ref="O33:S33"/>
    <mergeCell ref="B2:S2"/>
    <mergeCell ref="B3:S3"/>
    <mergeCell ref="L6:M6"/>
    <mergeCell ref="L7:M7"/>
    <mergeCell ref="P6:S6"/>
    <mergeCell ref="P7:S7"/>
    <mergeCell ref="D11:E11"/>
    <mergeCell ref="I11:J11"/>
    <mergeCell ref="G6:I6"/>
    <mergeCell ref="G7:I7"/>
    <mergeCell ref="L11:M11"/>
    <mergeCell ref="B6:E6"/>
    <mergeCell ref="B7:E7"/>
    <mergeCell ref="L9:O9"/>
    <mergeCell ref="D9:H9"/>
    <mergeCell ref="F13:G13"/>
    <mergeCell ref="I13:N13"/>
    <mergeCell ref="B13:E13"/>
    <mergeCell ref="B20:K20"/>
    <mergeCell ref="B11:C11"/>
    <mergeCell ref="G11:H11"/>
    <mergeCell ref="L41:M41"/>
    <mergeCell ref="J41:K41"/>
    <mergeCell ref="B16:K16"/>
    <mergeCell ref="I14:R14"/>
    <mergeCell ref="B18:K18"/>
  </mergeCells>
  <dataValidations count="1">
    <dataValidation type="list" allowBlank="1" showInputMessage="1" showErrorMessage="1" sqref="N24 O22">
      <formula1>YesNo</formula1>
    </dataValidation>
  </dataValidations>
  <printOptions horizontalCentered="1" verticalCentered="1"/>
  <pageMargins left="0.5" right="0.5" top="0.5" bottom="0.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AI121"/>
  <sheetViews>
    <sheetView zoomScaleNormal="100" workbookViewId="0">
      <selection activeCell="D9" sqref="D9:E9"/>
    </sheetView>
  </sheetViews>
  <sheetFormatPr defaultRowHeight="12.75"/>
  <cols>
    <col min="1" max="1" width="28.28515625" customWidth="1"/>
    <col min="2" max="3" width="10.7109375" customWidth="1"/>
    <col min="10" max="24" width="0" hidden="1" customWidth="1"/>
    <col min="25" max="25" width="13.5703125" hidden="1" customWidth="1"/>
    <col min="26" max="27" width="13.7109375" hidden="1" customWidth="1"/>
    <col min="28" max="28" width="17.7109375" hidden="1" customWidth="1"/>
    <col min="29" max="29" width="15.7109375" hidden="1" customWidth="1"/>
    <col min="30" max="35" width="13.7109375" hidden="1" customWidth="1"/>
    <col min="36" max="36" width="13.7109375" customWidth="1"/>
  </cols>
  <sheetData>
    <row r="1" spans="1:21">
      <c r="A1" s="237" t="s">
        <v>398</v>
      </c>
      <c r="B1" s="13"/>
      <c r="C1" s="13"/>
      <c r="D1" s="13"/>
      <c r="E1" s="13"/>
      <c r="F1" s="13"/>
      <c r="G1" s="13"/>
      <c r="H1" s="238" t="s">
        <v>444</v>
      </c>
    </row>
    <row r="2" spans="1:21" ht="15.75">
      <c r="A2" s="298" t="s">
        <v>357</v>
      </c>
      <c r="B2" s="299"/>
      <c r="C2" s="299"/>
      <c r="D2" s="299"/>
      <c r="E2" s="299"/>
      <c r="F2" s="299"/>
      <c r="G2" s="299"/>
      <c r="H2" s="300"/>
      <c r="I2" s="172"/>
      <c r="J2" s="172"/>
      <c r="K2" s="172"/>
      <c r="L2" s="172"/>
      <c r="N2" s="172"/>
    </row>
    <row r="3" spans="1:21">
      <c r="A3" s="7"/>
      <c r="B3" s="8"/>
      <c r="C3" s="8"/>
      <c r="D3" s="8"/>
      <c r="E3" s="8"/>
      <c r="F3" s="8"/>
      <c r="G3" s="8"/>
      <c r="H3" s="9"/>
      <c r="U3" s="182" t="str">
        <f>IF('Input Sheet'!O30="No"," ",IF(Worksheet!W31&gt;Worksheet!AA31,"Eastbound","Northbound"))</f>
        <v>Northbound</v>
      </c>
    </row>
    <row r="4" spans="1:21">
      <c r="A4" s="7"/>
      <c r="B4" s="8"/>
      <c r="C4" s="8"/>
      <c r="D4" s="8"/>
      <c r="E4" s="8"/>
      <c r="F4" s="8"/>
      <c r="G4" s="8"/>
      <c r="H4" s="9"/>
      <c r="U4" s="117" t="str">
        <f>IF('Input Sheet'!O30="No"," ",IF(Worksheet!W31&gt;Worksheet!AA31,"Westbound","Southbound"))</f>
        <v>Southbound</v>
      </c>
    </row>
    <row r="5" spans="1:21" ht="13.5" thickBot="1">
      <c r="A5" s="156" t="s">
        <v>49</v>
      </c>
      <c r="B5" s="405" t="str">
        <f>IF('Input Sheet'!O30="No"," ",'Pg 1'!C10)</f>
        <v xml:space="preserve"> </v>
      </c>
      <c r="C5" s="405"/>
      <c r="D5" s="8"/>
      <c r="E5" s="8"/>
      <c r="F5" s="8"/>
      <c r="G5" s="8"/>
      <c r="H5" s="9"/>
    </row>
    <row r="6" spans="1:21" ht="4.5" customHeight="1">
      <c r="A6" s="7"/>
      <c r="B6" s="8"/>
      <c r="C6" s="8"/>
      <c r="D6" s="8"/>
      <c r="E6" s="8"/>
      <c r="F6" s="8"/>
      <c r="G6" s="8"/>
      <c r="H6" s="9"/>
    </row>
    <row r="7" spans="1:21" ht="13.5" thickBot="1">
      <c r="A7" s="156" t="s">
        <v>50</v>
      </c>
      <c r="B7" s="405" t="str">
        <f>IF('Input Sheet'!O30="No"," ",'Pg 1'!C12)</f>
        <v xml:space="preserve"> </v>
      </c>
      <c r="C7" s="405"/>
      <c r="D7" s="8"/>
      <c r="E7" s="8"/>
      <c r="F7" s="8"/>
      <c r="G7" s="8"/>
      <c r="H7" s="9"/>
    </row>
    <row r="8" spans="1:21" ht="4.5" customHeight="1">
      <c r="A8" s="7"/>
      <c r="B8" s="8"/>
      <c r="C8" s="8"/>
      <c r="D8" s="8"/>
      <c r="E8" s="8"/>
      <c r="F8" s="8"/>
      <c r="G8" s="8"/>
      <c r="H8" s="9"/>
    </row>
    <row r="9" spans="1:21" ht="13.5" customHeight="1" thickBot="1">
      <c r="A9" s="404" t="s">
        <v>362</v>
      </c>
      <c r="B9" s="388"/>
      <c r="C9" s="388"/>
      <c r="D9" s="309"/>
      <c r="E9" s="309"/>
      <c r="F9" s="8"/>
      <c r="G9" s="8"/>
      <c r="H9" s="9"/>
    </row>
    <row r="10" spans="1:21" ht="4.5" customHeight="1">
      <c r="A10" s="7"/>
      <c r="B10" s="8"/>
      <c r="C10" s="8"/>
      <c r="D10" s="8"/>
      <c r="E10" s="8"/>
      <c r="F10" s="8"/>
      <c r="G10" s="8"/>
      <c r="H10" s="9"/>
    </row>
    <row r="11" spans="1:21" ht="13.5" customHeight="1" thickBot="1">
      <c r="A11" s="404" t="s">
        <v>359</v>
      </c>
      <c r="B11" s="388"/>
      <c r="C11" s="155"/>
      <c r="D11" s="8"/>
      <c r="E11" s="8"/>
      <c r="F11" s="8"/>
      <c r="G11" s="8"/>
      <c r="H11" s="9"/>
    </row>
    <row r="12" spans="1:21" ht="4.5" customHeight="1">
      <c r="A12" s="7"/>
      <c r="B12" s="8"/>
      <c r="C12" s="8"/>
      <c r="D12" s="8"/>
      <c r="E12" s="8"/>
      <c r="F12" s="8"/>
      <c r="G12" s="8"/>
      <c r="H12" s="9"/>
    </row>
    <row r="13" spans="1:21" ht="13.5" thickBot="1">
      <c r="A13" s="175" t="s">
        <v>371</v>
      </c>
      <c r="B13" s="155"/>
      <c r="C13" s="29"/>
      <c r="D13" s="8"/>
      <c r="E13" s="8"/>
      <c r="F13" s="8"/>
      <c r="G13" s="8"/>
      <c r="H13" s="9"/>
    </row>
    <row r="14" spans="1:21" ht="4.5" customHeight="1">
      <c r="A14" s="7"/>
      <c r="B14" s="8"/>
      <c r="C14" s="8"/>
      <c r="D14" s="8"/>
      <c r="E14" s="8"/>
      <c r="F14" s="8"/>
      <c r="G14" s="8"/>
      <c r="H14" s="9"/>
    </row>
    <row r="15" spans="1:21" ht="13.5" customHeight="1" thickBot="1">
      <c r="A15" s="175" t="s">
        <v>358</v>
      </c>
      <c r="B15" s="155"/>
      <c r="C15" s="29"/>
      <c r="D15" s="8"/>
      <c r="E15" s="8"/>
      <c r="F15" s="8"/>
      <c r="G15" s="8"/>
      <c r="H15" s="9"/>
    </row>
    <row r="16" spans="1:21" ht="4.5" customHeight="1">
      <c r="A16" s="7"/>
      <c r="B16" s="8"/>
      <c r="C16" s="8"/>
      <c r="D16" s="8"/>
      <c r="E16" s="8"/>
      <c r="F16" s="8"/>
      <c r="G16" s="8"/>
      <c r="H16" s="9"/>
    </row>
    <row r="17" spans="1:8" ht="27" customHeight="1" thickBot="1">
      <c r="A17" s="175" t="s">
        <v>364</v>
      </c>
      <c r="B17" s="155"/>
      <c r="C17" s="29"/>
      <c r="D17" s="8"/>
      <c r="E17" s="8"/>
      <c r="F17" s="8"/>
      <c r="G17" s="8"/>
      <c r="H17" s="9"/>
    </row>
    <row r="18" spans="1:8" ht="4.5" customHeight="1">
      <c r="A18" s="174"/>
      <c r="B18" s="8"/>
      <c r="C18" s="8"/>
      <c r="D18" s="8"/>
      <c r="E18" s="8"/>
      <c r="F18" s="8"/>
      <c r="G18" s="8"/>
      <c r="H18" s="9"/>
    </row>
    <row r="19" spans="1:8" ht="27" customHeight="1" thickBot="1">
      <c r="A19" s="175" t="s">
        <v>365</v>
      </c>
      <c r="B19" s="155"/>
      <c r="C19" s="29"/>
      <c r="D19" s="8"/>
      <c r="E19" s="8"/>
      <c r="F19" s="8"/>
      <c r="G19" s="8"/>
      <c r="H19" s="9"/>
    </row>
    <row r="20" spans="1:8" ht="12.75" customHeight="1">
      <c r="A20" s="7"/>
      <c r="B20" s="8"/>
      <c r="C20" s="8"/>
      <c r="D20" s="8"/>
      <c r="E20" s="8"/>
      <c r="F20" s="8"/>
      <c r="G20" s="8"/>
      <c r="H20" s="9"/>
    </row>
    <row r="21" spans="1:8">
      <c r="A21" s="7"/>
      <c r="B21" s="8"/>
      <c r="C21" s="8"/>
      <c r="D21" s="8"/>
      <c r="E21" s="8"/>
      <c r="F21" s="8"/>
      <c r="G21" s="8"/>
      <c r="H21" s="9"/>
    </row>
    <row r="22" spans="1:8" ht="12.75" customHeight="1">
      <c r="A22" s="174"/>
      <c r="B22" s="8"/>
      <c r="C22" s="8"/>
      <c r="D22" s="8"/>
      <c r="E22" s="8"/>
      <c r="F22" s="8"/>
      <c r="G22" s="8"/>
      <c r="H22" s="9"/>
    </row>
    <row r="23" spans="1:8">
      <c r="A23" s="174"/>
      <c r="B23" s="8"/>
      <c r="C23" s="8"/>
      <c r="D23" s="8"/>
      <c r="E23" s="8"/>
      <c r="F23" s="8"/>
      <c r="G23" s="8"/>
      <c r="H23" s="9"/>
    </row>
    <row r="24" spans="1:8">
      <c r="A24" s="7"/>
      <c r="B24" s="8"/>
      <c r="C24" s="8"/>
      <c r="D24" s="8"/>
      <c r="E24" s="8"/>
      <c r="F24" s="8"/>
      <c r="G24" s="8"/>
      <c r="H24" s="9"/>
    </row>
    <row r="25" spans="1:8">
      <c r="A25" s="174"/>
      <c r="B25" s="8"/>
      <c r="C25" s="8"/>
      <c r="D25" s="8"/>
      <c r="E25" s="8"/>
      <c r="F25" s="8"/>
      <c r="G25" s="8"/>
      <c r="H25" s="9"/>
    </row>
    <row r="26" spans="1:8">
      <c r="A26" s="174"/>
      <c r="B26" s="8"/>
      <c r="C26" s="8"/>
      <c r="D26" s="8"/>
      <c r="E26" s="8"/>
      <c r="F26" s="8"/>
      <c r="G26" s="8"/>
      <c r="H26" s="9"/>
    </row>
    <row r="27" spans="1:8">
      <c r="A27" s="7"/>
      <c r="B27" s="8"/>
      <c r="C27" s="8"/>
      <c r="D27" s="8"/>
      <c r="E27" s="8"/>
      <c r="F27" s="8"/>
      <c r="G27" s="8"/>
      <c r="H27" s="9"/>
    </row>
    <row r="28" spans="1:8">
      <c r="A28" s="174"/>
      <c r="B28" s="8"/>
      <c r="C28" s="8"/>
      <c r="D28" s="8"/>
      <c r="E28" s="8"/>
      <c r="F28" s="8"/>
      <c r="G28" s="8"/>
      <c r="H28" s="9"/>
    </row>
    <row r="29" spans="1:8">
      <c r="A29" s="7"/>
      <c r="B29" s="8"/>
      <c r="C29" s="8"/>
      <c r="D29" s="8"/>
      <c r="E29" s="8"/>
      <c r="F29" s="8"/>
      <c r="G29" s="8"/>
      <c r="H29" s="9"/>
    </row>
    <row r="30" spans="1:8">
      <c r="A30" s="7"/>
      <c r="B30" s="8"/>
      <c r="C30" s="8"/>
      <c r="D30" s="8"/>
      <c r="E30" s="8"/>
      <c r="F30" s="8"/>
      <c r="G30" s="8"/>
      <c r="H30" s="9"/>
    </row>
    <row r="31" spans="1:8">
      <c r="A31" s="7"/>
      <c r="B31" s="8"/>
      <c r="C31" s="8"/>
      <c r="D31" s="8"/>
      <c r="E31" s="8"/>
      <c r="F31" s="8"/>
      <c r="G31" s="8"/>
      <c r="H31" s="9"/>
    </row>
    <row r="32" spans="1:8">
      <c r="A32" s="7"/>
      <c r="B32" s="8"/>
      <c r="C32" s="8"/>
      <c r="D32" s="8"/>
      <c r="E32" s="8"/>
      <c r="F32" s="8"/>
      <c r="G32" s="8"/>
      <c r="H32" s="9"/>
    </row>
    <row r="33" spans="1:8">
      <c r="A33" s="7"/>
      <c r="B33" s="8"/>
      <c r="C33" s="8"/>
      <c r="D33" s="8"/>
      <c r="E33" s="8"/>
      <c r="F33" s="8"/>
      <c r="G33" s="8"/>
      <c r="H33" s="9"/>
    </row>
    <row r="34" spans="1:8">
      <c r="A34" s="7"/>
      <c r="B34" s="8"/>
      <c r="C34" s="8"/>
      <c r="D34" s="8"/>
      <c r="E34" s="8"/>
      <c r="F34" s="8"/>
      <c r="G34" s="8"/>
      <c r="H34" s="9"/>
    </row>
    <row r="35" spans="1:8">
      <c r="A35" s="7"/>
      <c r="B35" s="8"/>
      <c r="C35" s="8"/>
      <c r="D35" s="8"/>
      <c r="E35" s="8"/>
      <c r="F35" s="8"/>
      <c r="G35" s="8"/>
      <c r="H35" s="9"/>
    </row>
    <row r="36" spans="1:8">
      <c r="A36" s="7"/>
      <c r="B36" s="8"/>
      <c r="C36" s="8"/>
      <c r="D36" s="8"/>
      <c r="E36" s="8"/>
      <c r="F36" s="8"/>
      <c r="G36" s="8"/>
      <c r="H36" s="9"/>
    </row>
    <row r="37" spans="1:8">
      <c r="A37" s="7"/>
      <c r="B37" s="8"/>
      <c r="C37" s="8"/>
      <c r="D37" s="8"/>
      <c r="E37" s="8"/>
      <c r="F37" s="8"/>
      <c r="G37" s="8"/>
      <c r="H37" s="9"/>
    </row>
    <row r="38" spans="1:8">
      <c r="A38" s="7"/>
      <c r="B38" s="8"/>
      <c r="C38" s="8"/>
      <c r="D38" s="8"/>
      <c r="E38" s="8"/>
      <c r="F38" s="8"/>
      <c r="G38" s="8"/>
      <c r="H38" s="9"/>
    </row>
    <row r="39" spans="1:8" ht="12.75" customHeight="1">
      <c r="A39" s="7"/>
      <c r="B39" s="8"/>
      <c r="C39" s="8"/>
      <c r="D39" s="8"/>
      <c r="E39" s="8"/>
      <c r="F39" s="8"/>
      <c r="G39" s="8"/>
      <c r="H39" s="9"/>
    </row>
    <row r="40" spans="1:8">
      <c r="A40" s="7"/>
      <c r="B40" s="8"/>
      <c r="C40" s="8"/>
      <c r="D40" s="8"/>
      <c r="E40" s="8"/>
      <c r="F40" s="8"/>
      <c r="G40" s="8"/>
      <c r="H40" s="9"/>
    </row>
    <row r="41" spans="1:8" ht="12.75" customHeight="1">
      <c r="A41" s="7"/>
      <c r="B41" s="8"/>
      <c r="C41" s="8"/>
      <c r="D41" s="8"/>
      <c r="E41" s="8"/>
      <c r="F41" s="8"/>
      <c r="G41" s="8"/>
      <c r="H41" s="9"/>
    </row>
    <row r="42" spans="1:8">
      <c r="A42" s="7"/>
      <c r="B42" s="8"/>
      <c r="C42" s="8"/>
      <c r="D42" s="8"/>
      <c r="E42" s="8"/>
      <c r="F42" s="8"/>
      <c r="G42" s="8"/>
      <c r="H42" s="9"/>
    </row>
    <row r="43" spans="1:8">
      <c r="A43" s="7"/>
      <c r="B43" s="8"/>
      <c r="C43" s="8"/>
      <c r="D43" s="8"/>
      <c r="E43" s="8"/>
      <c r="F43" s="8"/>
      <c r="G43" s="8"/>
      <c r="H43" s="9"/>
    </row>
    <row r="44" spans="1:8">
      <c r="A44" s="7"/>
      <c r="B44" s="8"/>
      <c r="C44" s="8"/>
      <c r="D44" s="8"/>
      <c r="E44" s="8"/>
      <c r="F44" s="8"/>
      <c r="G44" s="8"/>
      <c r="H44" s="9"/>
    </row>
    <row r="45" spans="1:8">
      <c r="A45" s="7"/>
      <c r="B45" s="8"/>
      <c r="C45" s="8"/>
      <c r="D45" s="8"/>
      <c r="E45" s="8"/>
      <c r="F45" s="8"/>
      <c r="G45" s="8"/>
      <c r="H45" s="9"/>
    </row>
    <row r="46" spans="1:8">
      <c r="A46" s="7"/>
      <c r="B46" s="8"/>
      <c r="C46" s="8"/>
      <c r="D46" s="8"/>
      <c r="E46" s="8"/>
      <c r="F46" s="8"/>
      <c r="G46" s="8"/>
      <c r="H46" s="9"/>
    </row>
    <row r="47" spans="1:8">
      <c r="A47" s="7"/>
      <c r="B47" s="8"/>
      <c r="C47" s="8"/>
      <c r="D47" s="8"/>
      <c r="E47" s="8"/>
      <c r="F47" s="8"/>
      <c r="G47" s="8"/>
      <c r="H47" s="9"/>
    </row>
    <row r="48" spans="1:8">
      <c r="A48" s="7"/>
      <c r="B48" s="8"/>
      <c r="C48" s="8"/>
      <c r="D48" s="8"/>
      <c r="E48" s="8"/>
      <c r="F48" s="8"/>
      <c r="G48" s="8"/>
      <c r="H48" s="9"/>
    </row>
    <row r="49" spans="1:35">
      <c r="A49" s="7"/>
      <c r="B49" s="8"/>
      <c r="C49" s="8"/>
      <c r="D49" s="8"/>
      <c r="E49" s="8"/>
      <c r="F49" s="8"/>
      <c r="G49" s="8"/>
      <c r="H49" s="9"/>
    </row>
    <row r="50" spans="1:35" ht="36" customHeight="1">
      <c r="A50" s="7"/>
      <c r="B50" s="8"/>
      <c r="C50" s="8"/>
      <c r="D50" s="8"/>
      <c r="E50" s="8"/>
      <c r="F50" s="8"/>
      <c r="G50" s="8"/>
      <c r="H50" s="9"/>
    </row>
    <row r="51" spans="1:35">
      <c r="A51" s="7"/>
      <c r="B51" s="8"/>
      <c r="C51" s="8"/>
      <c r="D51" s="8"/>
      <c r="E51" s="8"/>
      <c r="F51" s="8"/>
      <c r="G51" s="8"/>
      <c r="H51" s="9"/>
    </row>
    <row r="52" spans="1:35">
      <c r="A52" s="7"/>
      <c r="B52" s="8"/>
      <c r="C52" s="8"/>
      <c r="D52" s="8"/>
      <c r="E52" s="8"/>
      <c r="F52" s="8"/>
      <c r="G52" s="8"/>
      <c r="H52" s="9"/>
    </row>
    <row r="53" spans="1:35">
      <c r="A53" s="7"/>
      <c r="B53" s="8"/>
      <c r="C53" s="8"/>
      <c r="D53" s="8"/>
      <c r="E53" s="8"/>
      <c r="F53" s="8"/>
      <c r="G53" s="8"/>
      <c r="H53" s="9"/>
    </row>
    <row r="54" spans="1:35">
      <c r="A54" s="7"/>
      <c r="B54" s="8"/>
      <c r="C54" s="8"/>
      <c r="D54" s="8"/>
      <c r="E54" s="8"/>
      <c r="F54" s="8"/>
      <c r="G54" s="8"/>
      <c r="H54" s="9"/>
    </row>
    <row r="55" spans="1:35">
      <c r="A55" s="7"/>
      <c r="B55" s="8"/>
      <c r="C55" s="8"/>
      <c r="D55" s="8"/>
      <c r="E55" s="8"/>
      <c r="F55" s="8"/>
      <c r="G55" s="8"/>
      <c r="H55" s="9"/>
    </row>
    <row r="56" spans="1:35">
      <c r="A56" s="7"/>
      <c r="B56" s="8"/>
      <c r="C56" s="8"/>
      <c r="D56" s="8"/>
      <c r="E56" s="8"/>
      <c r="F56" s="8"/>
      <c r="G56" s="8"/>
      <c r="H56" s="9"/>
    </row>
    <row r="57" spans="1:35" ht="28.5" customHeight="1">
      <c r="A57" s="7"/>
      <c r="B57" s="8"/>
      <c r="C57" s="8"/>
      <c r="D57" s="8"/>
      <c r="E57" s="8"/>
      <c r="F57" s="8"/>
      <c r="G57" s="8"/>
      <c r="H57" s="9"/>
    </row>
    <row r="58" spans="1:35" ht="24" customHeight="1" thickBot="1">
      <c r="A58" s="27"/>
      <c r="B58" s="10"/>
      <c r="C58" s="10"/>
      <c r="D58" s="10"/>
      <c r="E58" s="10"/>
      <c r="F58" s="10"/>
      <c r="G58" s="10"/>
      <c r="H58" s="11"/>
    </row>
    <row r="59" spans="1:35">
      <c r="A59" s="8"/>
      <c r="B59" s="8"/>
      <c r="C59" s="8"/>
      <c r="D59" s="8"/>
      <c r="E59" s="8"/>
      <c r="F59" s="8"/>
      <c r="G59" s="8"/>
      <c r="H59" s="8"/>
      <c r="I59" s="8"/>
    </row>
    <row r="60" spans="1:35" ht="24" customHeight="1">
      <c r="A60" s="8"/>
      <c r="B60" s="8"/>
      <c r="C60" s="8"/>
      <c r="D60" s="8"/>
      <c r="E60" s="8"/>
      <c r="F60" s="8"/>
      <c r="G60" s="8"/>
      <c r="H60" s="8"/>
      <c r="I60" s="8"/>
    </row>
    <row r="61" spans="1:35" ht="13.5" thickBot="1">
      <c r="X61" s="390" t="s">
        <v>320</v>
      </c>
      <c r="Y61" s="390"/>
      <c r="Z61" s="390"/>
      <c r="AA61" s="390"/>
      <c r="AB61" s="390"/>
      <c r="AC61" s="390"/>
      <c r="AD61" s="390"/>
      <c r="AE61" s="390"/>
      <c r="AF61" s="390"/>
      <c r="AG61" s="390"/>
      <c r="AH61" s="390"/>
      <c r="AI61" s="390"/>
    </row>
    <row r="62" spans="1:35" ht="13.5" thickBot="1">
      <c r="J62" s="389" t="s">
        <v>319</v>
      </c>
      <c r="K62" s="389"/>
      <c r="L62" s="389"/>
      <c r="M62" s="389"/>
      <c r="N62" s="389"/>
      <c r="O62" s="389"/>
      <c r="P62" s="389"/>
      <c r="Q62" s="389"/>
      <c r="R62" s="389"/>
      <c r="S62" s="389"/>
      <c r="T62" s="389"/>
      <c r="U62" s="389"/>
      <c r="X62" s="391" t="s">
        <v>321</v>
      </c>
      <c r="Y62" s="392"/>
      <c r="Z62" s="391" t="s">
        <v>322</v>
      </c>
      <c r="AA62" s="392"/>
      <c r="AB62" s="391" t="s">
        <v>323</v>
      </c>
      <c r="AC62" s="392"/>
      <c r="AD62" s="391" t="s">
        <v>324</v>
      </c>
      <c r="AE62" s="392"/>
      <c r="AF62" s="391" t="s">
        <v>325</v>
      </c>
      <c r="AG62" s="392"/>
      <c r="AH62" s="391" t="s">
        <v>326</v>
      </c>
      <c r="AI62" s="392"/>
    </row>
    <row r="63" spans="1:35" ht="90.75" thickBot="1">
      <c r="J63" s="389" t="s">
        <v>313</v>
      </c>
      <c r="K63" s="389"/>
      <c r="L63" s="389" t="s">
        <v>314</v>
      </c>
      <c r="M63" s="389"/>
      <c r="N63" s="389" t="s">
        <v>315</v>
      </c>
      <c r="O63" s="389"/>
      <c r="P63" s="389" t="s">
        <v>316</v>
      </c>
      <c r="Q63" s="389"/>
      <c r="R63" s="389" t="s">
        <v>317</v>
      </c>
      <c r="S63" s="389"/>
      <c r="T63" s="389" t="s">
        <v>318</v>
      </c>
      <c r="U63" s="389"/>
      <c r="X63" s="160" t="s">
        <v>327</v>
      </c>
      <c r="Y63" s="161">
        <v>16346289</v>
      </c>
      <c r="Z63" s="161" t="s">
        <v>327</v>
      </c>
      <c r="AA63" s="161">
        <v>16346289</v>
      </c>
      <c r="AB63" s="161" t="s">
        <v>327</v>
      </c>
      <c r="AC63" s="161">
        <v>16346289</v>
      </c>
      <c r="AD63" s="161" t="s">
        <v>329</v>
      </c>
      <c r="AE63" s="161" t="s">
        <v>328</v>
      </c>
      <c r="AF63" s="161" t="s">
        <v>327</v>
      </c>
      <c r="AG63" s="161" t="s">
        <v>328</v>
      </c>
      <c r="AH63" s="161" t="s">
        <v>327</v>
      </c>
      <c r="AI63" s="161" t="s">
        <v>328</v>
      </c>
    </row>
    <row r="64" spans="1:35" ht="13.5" thickBot="1">
      <c r="J64">
        <v>0</v>
      </c>
      <c r="L64">
        <v>0</v>
      </c>
      <c r="N64">
        <v>0</v>
      </c>
      <c r="P64">
        <v>0</v>
      </c>
      <c r="R64">
        <v>0</v>
      </c>
      <c r="T64">
        <v>0</v>
      </c>
      <c r="X64" s="162">
        <v>800</v>
      </c>
      <c r="Y64" s="163" t="s">
        <v>330</v>
      </c>
      <c r="Z64" s="163">
        <v>800</v>
      </c>
      <c r="AA64" s="163" t="s">
        <v>330</v>
      </c>
      <c r="AB64" s="163">
        <v>800</v>
      </c>
      <c r="AC64" s="163" t="s">
        <v>330</v>
      </c>
      <c r="AD64" s="163">
        <v>800</v>
      </c>
      <c r="AE64" s="163" t="s">
        <v>330</v>
      </c>
      <c r="AF64" s="163">
        <v>800</v>
      </c>
      <c r="AG64" s="163" t="s">
        <v>330</v>
      </c>
      <c r="AH64" s="163">
        <v>800</v>
      </c>
      <c r="AI64" s="163" t="s">
        <v>330</v>
      </c>
    </row>
    <row r="65" spans="10:35" ht="13.5" thickBot="1">
      <c r="J65" s="146">
        <v>50</v>
      </c>
      <c r="K65" s="146">
        <v>67</v>
      </c>
      <c r="L65" s="146">
        <v>50</v>
      </c>
      <c r="M65" s="146">
        <v>80</v>
      </c>
      <c r="N65" s="146">
        <v>50</v>
      </c>
      <c r="O65" s="146">
        <v>139</v>
      </c>
      <c r="P65" s="146">
        <v>50</v>
      </c>
      <c r="Q65" s="146">
        <v>166</v>
      </c>
      <c r="R65" s="146">
        <v>50</v>
      </c>
      <c r="S65" s="146">
        <v>190</v>
      </c>
      <c r="T65" s="146">
        <v>50</v>
      </c>
      <c r="U65" s="146">
        <v>223</v>
      </c>
      <c r="X65" s="162">
        <v>700</v>
      </c>
      <c r="Y65" s="163" t="s">
        <v>330</v>
      </c>
      <c r="Z65" s="163">
        <v>700</v>
      </c>
      <c r="AA65" s="163" t="s">
        <v>330</v>
      </c>
      <c r="AB65" s="163">
        <v>700</v>
      </c>
      <c r="AC65" s="163" t="s">
        <v>330</v>
      </c>
      <c r="AD65" s="163">
        <v>700</v>
      </c>
      <c r="AE65" s="163" t="s">
        <v>330</v>
      </c>
      <c r="AF65" s="163">
        <v>700</v>
      </c>
      <c r="AG65" s="163" t="s">
        <v>330</v>
      </c>
      <c r="AH65" s="163">
        <v>700</v>
      </c>
      <c r="AI65" s="163" t="s">
        <v>330</v>
      </c>
    </row>
    <row r="66" spans="10:35" ht="13.5" thickBot="1">
      <c r="J66" s="146">
        <v>100</v>
      </c>
      <c r="K66" s="146">
        <v>36</v>
      </c>
      <c r="L66" s="146">
        <v>100</v>
      </c>
      <c r="M66" s="146">
        <v>45</v>
      </c>
      <c r="N66" s="147">
        <v>100</v>
      </c>
      <c r="O66" s="147">
        <v>115</v>
      </c>
      <c r="P66" s="146">
        <v>100</v>
      </c>
      <c r="Q66" s="146">
        <v>145</v>
      </c>
      <c r="R66" s="147">
        <v>100</v>
      </c>
      <c r="S66" s="147">
        <v>166</v>
      </c>
      <c r="T66" s="147">
        <v>100</v>
      </c>
      <c r="U66" s="147">
        <v>192</v>
      </c>
      <c r="X66" s="162">
        <v>600</v>
      </c>
      <c r="Y66" s="163" t="s">
        <v>330</v>
      </c>
      <c r="Z66" s="163">
        <v>600</v>
      </c>
      <c r="AA66" s="163" t="s">
        <v>330</v>
      </c>
      <c r="AB66" s="163">
        <v>600</v>
      </c>
      <c r="AC66" s="163" t="s">
        <v>330</v>
      </c>
      <c r="AD66" s="163">
        <v>600</v>
      </c>
      <c r="AE66" s="163" t="s">
        <v>330</v>
      </c>
      <c r="AF66" s="163">
        <v>600</v>
      </c>
      <c r="AG66" s="163" t="s">
        <v>330</v>
      </c>
      <c r="AH66" s="163">
        <v>600</v>
      </c>
      <c r="AI66" s="163" t="s">
        <v>330</v>
      </c>
    </row>
    <row r="67" spans="10:35" ht="13.5" thickBot="1">
      <c r="J67" s="146">
        <v>150</v>
      </c>
      <c r="K67" s="146">
        <v>25</v>
      </c>
      <c r="L67" s="146">
        <v>150</v>
      </c>
      <c r="M67" s="146">
        <v>25</v>
      </c>
      <c r="N67" s="147">
        <v>150</v>
      </c>
      <c r="O67" s="147">
        <v>91</v>
      </c>
      <c r="P67" s="146">
        <v>150</v>
      </c>
      <c r="Q67" s="146">
        <v>125</v>
      </c>
      <c r="R67" s="147">
        <v>150</v>
      </c>
      <c r="S67" s="147">
        <v>142</v>
      </c>
      <c r="T67" s="147">
        <v>150</v>
      </c>
      <c r="U67" s="147">
        <v>161</v>
      </c>
      <c r="X67" s="162">
        <v>500</v>
      </c>
      <c r="Y67" s="163" t="s">
        <v>330</v>
      </c>
      <c r="Z67" s="163">
        <v>500</v>
      </c>
      <c r="AA67" s="163" t="s">
        <v>330</v>
      </c>
      <c r="AB67" s="163">
        <v>500</v>
      </c>
      <c r="AC67" s="163" t="s">
        <v>330</v>
      </c>
      <c r="AD67" s="163">
        <v>500</v>
      </c>
      <c r="AE67" s="163" t="s">
        <v>330</v>
      </c>
      <c r="AF67" s="163">
        <v>500</v>
      </c>
      <c r="AG67" s="163" t="s">
        <v>330</v>
      </c>
      <c r="AH67" s="163">
        <v>500</v>
      </c>
      <c r="AI67" s="163" t="s">
        <v>330</v>
      </c>
    </row>
    <row r="68" spans="10:35" ht="13.5" thickBot="1">
      <c r="J68" s="147">
        <v>200</v>
      </c>
      <c r="K68" s="147">
        <v>25</v>
      </c>
      <c r="L68" s="147">
        <v>200</v>
      </c>
      <c r="M68" s="147">
        <v>25</v>
      </c>
      <c r="N68" s="146">
        <v>200</v>
      </c>
      <c r="O68" s="146">
        <v>67</v>
      </c>
      <c r="P68" s="146">
        <v>200</v>
      </c>
      <c r="Q68" s="146">
        <v>106</v>
      </c>
      <c r="R68" s="147">
        <v>200</v>
      </c>
      <c r="S68" s="147">
        <v>118</v>
      </c>
      <c r="T68" s="147">
        <v>200</v>
      </c>
      <c r="U68" s="147">
        <v>130</v>
      </c>
      <c r="X68" s="162">
        <v>400</v>
      </c>
      <c r="Y68" s="163">
        <v>45</v>
      </c>
      <c r="Z68" s="163">
        <v>400</v>
      </c>
      <c r="AA68" s="163">
        <v>45</v>
      </c>
      <c r="AB68" s="163">
        <v>400</v>
      </c>
      <c r="AC68" s="163">
        <v>45</v>
      </c>
      <c r="AD68" s="163">
        <v>400</v>
      </c>
      <c r="AE68" s="163">
        <v>27</v>
      </c>
      <c r="AF68" s="163">
        <v>400</v>
      </c>
      <c r="AG68" s="163" t="s">
        <v>330</v>
      </c>
      <c r="AH68" s="163">
        <v>400</v>
      </c>
      <c r="AI68" s="163" t="s">
        <v>330</v>
      </c>
    </row>
    <row r="69" spans="10:35" ht="13.5" thickBot="1">
      <c r="J69" s="147">
        <v>250</v>
      </c>
      <c r="K69" s="147">
        <v>25</v>
      </c>
      <c r="L69" s="147">
        <v>250</v>
      </c>
      <c r="M69" s="147">
        <v>25</v>
      </c>
      <c r="N69" s="147">
        <v>250</v>
      </c>
      <c r="O69" s="147">
        <v>56</v>
      </c>
      <c r="P69" s="147">
        <v>250</v>
      </c>
      <c r="Q69" s="147">
        <v>81</v>
      </c>
      <c r="R69" s="146">
        <v>250</v>
      </c>
      <c r="S69" s="146">
        <v>94</v>
      </c>
      <c r="T69" s="147">
        <v>250</v>
      </c>
      <c r="U69" s="147">
        <v>99</v>
      </c>
      <c r="X69" s="162">
        <v>300</v>
      </c>
      <c r="Y69" s="163">
        <v>60</v>
      </c>
      <c r="Z69" s="163">
        <v>300</v>
      </c>
      <c r="AA69" s="163">
        <v>55</v>
      </c>
      <c r="AB69" s="163">
        <v>300</v>
      </c>
      <c r="AC69" s="163">
        <v>55</v>
      </c>
      <c r="AD69" s="163">
        <v>300</v>
      </c>
      <c r="AE69" s="163">
        <v>45</v>
      </c>
      <c r="AF69" s="163">
        <v>300</v>
      </c>
      <c r="AG69" s="163" t="s">
        <v>330</v>
      </c>
      <c r="AH69" s="163">
        <v>300</v>
      </c>
      <c r="AI69" s="163" t="s">
        <v>330</v>
      </c>
    </row>
    <row r="70" spans="10:35" ht="13.5" thickBot="1">
      <c r="J70" s="147">
        <v>300</v>
      </c>
      <c r="K70" s="147">
        <v>25</v>
      </c>
      <c r="L70" s="147">
        <v>300</v>
      </c>
      <c r="M70" s="147">
        <v>25</v>
      </c>
      <c r="N70" s="147">
        <v>300</v>
      </c>
      <c r="O70" s="147">
        <v>45</v>
      </c>
      <c r="P70" s="146">
        <v>300</v>
      </c>
      <c r="Q70" s="146">
        <v>56</v>
      </c>
      <c r="R70" s="146">
        <v>300</v>
      </c>
      <c r="S70" s="146">
        <v>62</v>
      </c>
      <c r="T70" s="146">
        <v>300</v>
      </c>
      <c r="U70" s="146">
        <v>68</v>
      </c>
      <c r="X70" s="162">
        <v>200</v>
      </c>
      <c r="Y70" s="163">
        <v>140</v>
      </c>
      <c r="Z70" s="163">
        <v>200</v>
      </c>
      <c r="AA70" s="163">
        <v>110</v>
      </c>
      <c r="AB70" s="163">
        <v>200</v>
      </c>
      <c r="AC70" s="163">
        <v>100</v>
      </c>
      <c r="AD70" s="163">
        <v>200</v>
      </c>
      <c r="AE70" s="163">
        <v>70</v>
      </c>
      <c r="AF70" s="163">
        <v>200</v>
      </c>
      <c r="AG70" s="163" t="s">
        <v>330</v>
      </c>
      <c r="AH70" s="163">
        <v>200</v>
      </c>
      <c r="AI70" s="163" t="s">
        <v>330</v>
      </c>
    </row>
    <row r="71" spans="10:35" ht="13.5" thickBot="1">
      <c r="J71" s="147">
        <v>350</v>
      </c>
      <c r="K71" s="147">
        <v>25</v>
      </c>
      <c r="L71" s="147">
        <v>350</v>
      </c>
      <c r="M71" s="147">
        <v>25</v>
      </c>
      <c r="N71" s="146">
        <v>350</v>
      </c>
      <c r="O71" s="146">
        <v>34</v>
      </c>
      <c r="P71" s="146">
        <v>350</v>
      </c>
      <c r="Q71" s="146">
        <v>50</v>
      </c>
      <c r="R71" s="146">
        <v>350</v>
      </c>
      <c r="S71" s="146">
        <v>53</v>
      </c>
      <c r="T71" s="146">
        <v>350</v>
      </c>
      <c r="U71" s="146">
        <v>55</v>
      </c>
      <c r="X71" s="162">
        <v>100</v>
      </c>
      <c r="Y71" s="163">
        <v>190</v>
      </c>
      <c r="Z71" s="163">
        <v>100</v>
      </c>
      <c r="AA71" s="163">
        <v>160</v>
      </c>
      <c r="AB71" s="163">
        <v>100</v>
      </c>
      <c r="AC71" s="163">
        <v>145</v>
      </c>
      <c r="AD71" s="163">
        <v>100</v>
      </c>
      <c r="AE71" s="163">
        <v>125</v>
      </c>
      <c r="AF71" s="163">
        <v>100</v>
      </c>
      <c r="AG71" s="163">
        <v>50</v>
      </c>
      <c r="AH71" s="163">
        <v>100</v>
      </c>
      <c r="AI71" s="163">
        <v>30</v>
      </c>
    </row>
    <row r="72" spans="10:35" ht="13.5" thickBot="1">
      <c r="J72" s="147">
        <v>400</v>
      </c>
      <c r="K72" s="147">
        <v>25</v>
      </c>
      <c r="L72" s="147">
        <v>400</v>
      </c>
      <c r="M72" s="147">
        <v>25</v>
      </c>
      <c r="N72" s="146">
        <v>400</v>
      </c>
      <c r="O72" s="146">
        <v>28</v>
      </c>
      <c r="P72" s="146">
        <v>400</v>
      </c>
      <c r="Q72" s="146">
        <v>38</v>
      </c>
      <c r="R72" s="147">
        <v>400</v>
      </c>
      <c r="S72" s="147">
        <v>39</v>
      </c>
      <c r="T72" s="147">
        <v>400</v>
      </c>
      <c r="U72" s="147">
        <v>40</v>
      </c>
      <c r="X72" s="164">
        <v>50</v>
      </c>
      <c r="Y72" s="165">
        <v>225</v>
      </c>
      <c r="Z72" s="165">
        <v>50</v>
      </c>
      <c r="AA72" s="165">
        <v>190</v>
      </c>
      <c r="AB72" s="165">
        <v>50</v>
      </c>
      <c r="AC72" s="165">
        <v>160</v>
      </c>
      <c r="AD72" s="165">
        <v>50</v>
      </c>
      <c r="AE72" s="165">
        <v>145</v>
      </c>
      <c r="AF72" s="165">
        <v>50</v>
      </c>
      <c r="AG72" s="165">
        <v>70</v>
      </c>
      <c r="AH72" s="165">
        <v>50</v>
      </c>
      <c r="AI72" s="165">
        <v>60</v>
      </c>
    </row>
    <row r="73" spans="10:35">
      <c r="J73" s="147">
        <v>450</v>
      </c>
      <c r="K73" s="147">
        <v>25</v>
      </c>
      <c r="L73" s="147">
        <v>450</v>
      </c>
      <c r="M73" s="147">
        <v>25</v>
      </c>
      <c r="N73" s="146">
        <v>450</v>
      </c>
      <c r="O73" s="146">
        <v>25</v>
      </c>
      <c r="P73" s="146">
        <v>450</v>
      </c>
      <c r="Q73" s="146">
        <v>25</v>
      </c>
      <c r="R73" s="146">
        <v>450</v>
      </c>
      <c r="S73" s="146">
        <v>25</v>
      </c>
      <c r="T73" s="146">
        <v>450</v>
      </c>
      <c r="U73" s="146">
        <v>25</v>
      </c>
      <c r="X73" s="393" t="s">
        <v>331</v>
      </c>
      <c r="Y73" s="393"/>
      <c r="Z73" s="393"/>
      <c r="AA73" s="393"/>
      <c r="AB73" s="393"/>
      <c r="AC73" s="393"/>
      <c r="AD73" s="393"/>
      <c r="AE73" s="393"/>
      <c r="AF73" s="393"/>
      <c r="AG73" s="393"/>
      <c r="AH73" s="393"/>
      <c r="AI73" s="393"/>
    </row>
    <row r="74" spans="10:35">
      <c r="J74" s="147">
        <v>500</v>
      </c>
      <c r="K74" s="147">
        <v>25</v>
      </c>
      <c r="L74" s="147">
        <v>500</v>
      </c>
      <c r="M74" s="147">
        <v>25</v>
      </c>
      <c r="N74" s="147">
        <v>500</v>
      </c>
      <c r="O74" s="147">
        <v>25</v>
      </c>
      <c r="P74" s="147">
        <v>500</v>
      </c>
      <c r="Q74" s="147">
        <v>25</v>
      </c>
      <c r="R74" s="147">
        <v>500</v>
      </c>
      <c r="S74" s="147">
        <v>25</v>
      </c>
      <c r="T74" s="147">
        <v>500</v>
      </c>
      <c r="U74" s="147">
        <v>25</v>
      </c>
      <c r="X74" s="394"/>
      <c r="Y74" s="394"/>
      <c r="Z74" s="394"/>
      <c r="AA74" s="394"/>
      <c r="AB74" s="394"/>
      <c r="AC74" s="394"/>
      <c r="AD74" s="394"/>
      <c r="AE74" s="394"/>
      <c r="AF74" s="394"/>
      <c r="AG74" s="394"/>
      <c r="AH74" s="394"/>
      <c r="AI74" s="394"/>
    </row>
    <row r="75" spans="10:35">
      <c r="J75" s="147">
        <v>550</v>
      </c>
      <c r="K75" s="147">
        <v>25</v>
      </c>
      <c r="L75" s="147">
        <v>550</v>
      </c>
      <c r="M75" s="147">
        <v>25</v>
      </c>
      <c r="N75" s="147">
        <v>550</v>
      </c>
      <c r="O75" s="147">
        <v>25</v>
      </c>
      <c r="P75" s="147">
        <v>550</v>
      </c>
      <c r="Q75" s="147">
        <v>25</v>
      </c>
      <c r="R75" s="147">
        <v>550</v>
      </c>
      <c r="S75" s="147">
        <v>25</v>
      </c>
      <c r="T75" s="147">
        <v>550</v>
      </c>
      <c r="U75" s="147">
        <v>25</v>
      </c>
      <c r="X75" s="395" t="s">
        <v>332</v>
      </c>
      <c r="Y75" s="395"/>
      <c r="Z75" s="395"/>
      <c r="AA75" s="395"/>
      <c r="AB75" s="395"/>
      <c r="AC75" s="395"/>
      <c r="AD75" s="395"/>
      <c r="AE75" s="395"/>
      <c r="AF75" s="395"/>
      <c r="AG75" s="395"/>
      <c r="AH75" s="395"/>
      <c r="AI75" s="395"/>
    </row>
    <row r="76" spans="10:35">
      <c r="J76" s="147">
        <v>600</v>
      </c>
      <c r="K76" s="147">
        <v>25</v>
      </c>
      <c r="L76" s="147">
        <v>600</v>
      </c>
      <c r="M76" s="147">
        <v>25</v>
      </c>
      <c r="N76" s="147">
        <v>600</v>
      </c>
      <c r="O76" s="147">
        <v>25</v>
      </c>
      <c r="P76" s="147">
        <v>600</v>
      </c>
      <c r="Q76" s="147">
        <v>25</v>
      </c>
      <c r="R76" s="147">
        <v>600</v>
      </c>
      <c r="S76" s="147">
        <v>25</v>
      </c>
      <c r="T76" s="147">
        <v>600</v>
      </c>
      <c r="U76" s="147">
        <v>25</v>
      </c>
      <c r="X76" s="396"/>
      <c r="Y76" s="396"/>
      <c r="Z76" s="396"/>
      <c r="AA76" s="396"/>
      <c r="AB76" s="396"/>
      <c r="AC76" s="396"/>
      <c r="AD76" s="396"/>
      <c r="AE76" s="396"/>
      <c r="AF76" s="396"/>
      <c r="AG76" s="396"/>
      <c r="AH76" s="396"/>
      <c r="AI76" s="396"/>
    </row>
    <row r="77" spans="10:35">
      <c r="J77" s="147">
        <v>650</v>
      </c>
      <c r="K77" s="147">
        <v>25</v>
      </c>
      <c r="L77" s="147">
        <v>650</v>
      </c>
      <c r="M77" s="147">
        <v>25</v>
      </c>
      <c r="N77" s="147">
        <v>650</v>
      </c>
      <c r="O77" s="147">
        <v>25</v>
      </c>
      <c r="P77" s="147">
        <v>650</v>
      </c>
      <c r="Q77" s="147">
        <v>25</v>
      </c>
      <c r="R77" s="147">
        <v>650</v>
      </c>
      <c r="S77" s="147">
        <v>25</v>
      </c>
      <c r="T77" s="147">
        <v>650</v>
      </c>
      <c r="U77" s="147">
        <v>25</v>
      </c>
    </row>
    <row r="78" spans="10:35">
      <c r="J78" s="147">
        <v>700</v>
      </c>
      <c r="K78" s="147">
        <v>25</v>
      </c>
      <c r="L78" s="147">
        <v>700</v>
      </c>
      <c r="M78" s="147">
        <v>25</v>
      </c>
      <c r="N78" s="147">
        <v>700</v>
      </c>
      <c r="O78" s="147">
        <v>25</v>
      </c>
      <c r="P78" s="147">
        <v>700</v>
      </c>
      <c r="Q78" s="147">
        <v>25</v>
      </c>
      <c r="R78" s="147">
        <v>700</v>
      </c>
      <c r="S78" s="147">
        <v>25</v>
      </c>
      <c r="T78" s="147">
        <v>700</v>
      </c>
      <c r="U78" s="147">
        <v>25</v>
      </c>
    </row>
    <row r="79" spans="10:35">
      <c r="J79" s="147">
        <v>750</v>
      </c>
      <c r="K79" s="147">
        <v>25</v>
      </c>
      <c r="L79" s="147">
        <v>750</v>
      </c>
      <c r="M79" s="147">
        <v>25</v>
      </c>
      <c r="N79" s="147">
        <v>750</v>
      </c>
      <c r="O79" s="147">
        <v>25</v>
      </c>
      <c r="P79" s="147">
        <v>750</v>
      </c>
      <c r="Q79" s="147">
        <v>25</v>
      </c>
      <c r="R79" s="147">
        <v>750</v>
      </c>
      <c r="S79" s="147">
        <v>25</v>
      </c>
      <c r="T79" s="147">
        <v>750</v>
      </c>
      <c r="U79" s="147">
        <v>25</v>
      </c>
    </row>
    <row r="80" spans="10:35" ht="13.5" thickBot="1">
      <c r="J80" s="146">
        <v>800</v>
      </c>
      <c r="K80" s="146">
        <v>25</v>
      </c>
      <c r="L80" s="146">
        <v>800</v>
      </c>
      <c r="M80" s="146">
        <v>25</v>
      </c>
      <c r="N80" s="146">
        <v>800</v>
      </c>
      <c r="O80" s="146">
        <v>25</v>
      </c>
      <c r="P80" s="146">
        <v>800</v>
      </c>
      <c r="Q80" s="146">
        <v>25</v>
      </c>
      <c r="R80" s="146">
        <v>800</v>
      </c>
      <c r="S80" s="146">
        <v>25</v>
      </c>
      <c r="T80" s="146">
        <v>800</v>
      </c>
      <c r="U80" s="146">
        <v>25</v>
      </c>
      <c r="X80" s="390" t="s">
        <v>333</v>
      </c>
      <c r="Y80" s="397"/>
      <c r="Z80" s="397"/>
      <c r="AA80" s="397"/>
      <c r="AB80" s="397"/>
      <c r="AC80" s="397"/>
      <c r="AD80" s="397"/>
      <c r="AE80" s="397"/>
      <c r="AF80" s="397"/>
      <c r="AG80" s="397"/>
      <c r="AH80" s="397"/>
      <c r="AI80" s="397"/>
    </row>
    <row r="81" spans="24:35" ht="13.5" thickBot="1">
      <c r="X81" s="391" t="s">
        <v>321</v>
      </c>
      <c r="Y81" s="392"/>
      <c r="Z81" s="391" t="s">
        <v>322</v>
      </c>
      <c r="AA81" s="392"/>
      <c r="AB81" s="391" t="s">
        <v>323</v>
      </c>
      <c r="AC81" s="392"/>
      <c r="AD81" s="391" t="s">
        <v>324</v>
      </c>
      <c r="AE81" s="392"/>
      <c r="AF81" s="391" t="s">
        <v>325</v>
      </c>
      <c r="AG81" s="392"/>
      <c r="AH81" s="391" t="s">
        <v>326</v>
      </c>
      <c r="AI81" s="392"/>
    </row>
    <row r="82" spans="24:35" ht="90.75" thickBot="1">
      <c r="X82" s="160" t="s">
        <v>327</v>
      </c>
      <c r="Y82" s="161" t="s">
        <v>328</v>
      </c>
      <c r="Z82" s="161" t="s">
        <v>327</v>
      </c>
      <c r="AA82" s="161" t="s">
        <v>328</v>
      </c>
      <c r="AB82" s="161" t="s">
        <v>327</v>
      </c>
      <c r="AC82" s="161" t="s">
        <v>328</v>
      </c>
      <c r="AD82" s="161" t="s">
        <v>329</v>
      </c>
      <c r="AE82" s="161" t="s">
        <v>328</v>
      </c>
      <c r="AF82" s="161" t="s">
        <v>327</v>
      </c>
      <c r="AG82" s="161" t="s">
        <v>328</v>
      </c>
      <c r="AH82" s="161" t="s">
        <v>327</v>
      </c>
      <c r="AI82" s="161" t="s">
        <v>328</v>
      </c>
    </row>
    <row r="83" spans="24:35" ht="13.5" thickBot="1">
      <c r="X83" s="162">
        <v>800</v>
      </c>
      <c r="Y83" s="163" t="s">
        <v>330</v>
      </c>
      <c r="Z83" s="163">
        <v>800</v>
      </c>
      <c r="AA83" s="163" t="s">
        <v>330</v>
      </c>
      <c r="AB83" s="163">
        <v>800</v>
      </c>
      <c r="AC83" s="163" t="s">
        <v>330</v>
      </c>
      <c r="AD83" s="163">
        <v>800</v>
      </c>
      <c r="AE83" s="163" t="s">
        <v>330</v>
      </c>
      <c r="AF83" s="163">
        <v>800</v>
      </c>
      <c r="AG83" s="163" t="s">
        <v>330</v>
      </c>
      <c r="AH83" s="163">
        <v>800</v>
      </c>
      <c r="AI83" s="163" t="s">
        <v>330</v>
      </c>
    </row>
    <row r="84" spans="24:35" ht="13.5" thickBot="1">
      <c r="X84" s="162">
        <v>700</v>
      </c>
      <c r="Y84" s="163" t="s">
        <v>330</v>
      </c>
      <c r="Z84" s="163">
        <v>700</v>
      </c>
      <c r="AA84" s="163" t="s">
        <v>330</v>
      </c>
      <c r="AB84" s="163">
        <v>700</v>
      </c>
      <c r="AC84" s="163" t="s">
        <v>330</v>
      </c>
      <c r="AD84" s="163">
        <v>700</v>
      </c>
      <c r="AE84" s="163" t="s">
        <v>330</v>
      </c>
      <c r="AF84" s="163">
        <v>700</v>
      </c>
      <c r="AG84" s="163" t="s">
        <v>330</v>
      </c>
      <c r="AH84" s="163">
        <v>700</v>
      </c>
      <c r="AI84" s="163" t="s">
        <v>330</v>
      </c>
    </row>
    <row r="85" spans="24:35" ht="13.5" thickBot="1">
      <c r="X85" s="162">
        <v>600</v>
      </c>
      <c r="Y85" s="163" t="s">
        <v>330</v>
      </c>
      <c r="Z85" s="163">
        <v>600</v>
      </c>
      <c r="AA85" s="163" t="s">
        <v>330</v>
      </c>
      <c r="AB85" s="163">
        <v>600</v>
      </c>
      <c r="AC85" s="163" t="s">
        <v>330</v>
      </c>
      <c r="AD85" s="163">
        <v>600</v>
      </c>
      <c r="AE85" s="163" t="s">
        <v>330</v>
      </c>
      <c r="AF85" s="163">
        <v>600</v>
      </c>
      <c r="AG85" s="163" t="s">
        <v>330</v>
      </c>
      <c r="AH85" s="163">
        <v>600</v>
      </c>
      <c r="AI85" s="163" t="s">
        <v>330</v>
      </c>
    </row>
    <row r="86" spans="24:35" ht="13.5" thickBot="1">
      <c r="X86" s="162">
        <v>500</v>
      </c>
      <c r="Y86" s="163" t="s">
        <v>330</v>
      </c>
      <c r="Z86" s="163">
        <v>500</v>
      </c>
      <c r="AA86" s="163" t="s">
        <v>330</v>
      </c>
      <c r="AB86" s="163">
        <v>500</v>
      </c>
      <c r="AC86" s="163" t="s">
        <v>330</v>
      </c>
      <c r="AD86" s="163">
        <v>500</v>
      </c>
      <c r="AE86" s="163" t="s">
        <v>330</v>
      </c>
      <c r="AF86" s="163">
        <v>500</v>
      </c>
      <c r="AG86" s="163" t="s">
        <v>330</v>
      </c>
      <c r="AH86" s="163">
        <v>500</v>
      </c>
      <c r="AI86" s="163" t="s">
        <v>330</v>
      </c>
    </row>
    <row r="87" spans="24:35" ht="13.5" thickBot="1">
      <c r="X87" s="162">
        <v>400</v>
      </c>
      <c r="Y87" s="163">
        <v>45</v>
      </c>
      <c r="Z87" s="163">
        <v>400</v>
      </c>
      <c r="AA87" s="163">
        <v>45</v>
      </c>
      <c r="AB87" s="163">
        <v>400</v>
      </c>
      <c r="AC87" s="163">
        <v>45</v>
      </c>
      <c r="AD87" s="163">
        <v>400</v>
      </c>
      <c r="AE87" s="163">
        <v>27</v>
      </c>
      <c r="AF87" s="163">
        <v>400</v>
      </c>
      <c r="AG87" s="163" t="s">
        <v>330</v>
      </c>
      <c r="AH87" s="163">
        <v>400</v>
      </c>
      <c r="AI87" s="163" t="s">
        <v>330</v>
      </c>
    </row>
    <row r="88" spans="24:35" ht="13.5" thickBot="1">
      <c r="X88" s="162">
        <v>300</v>
      </c>
      <c r="Y88" s="163">
        <v>145</v>
      </c>
      <c r="Z88" s="163">
        <v>300</v>
      </c>
      <c r="AA88" s="163">
        <v>125</v>
      </c>
      <c r="AB88" s="163">
        <v>300</v>
      </c>
      <c r="AC88" s="163">
        <v>80</v>
      </c>
      <c r="AD88" s="163">
        <v>300</v>
      </c>
      <c r="AE88" s="163">
        <v>50</v>
      </c>
      <c r="AF88" s="163">
        <v>300</v>
      </c>
      <c r="AG88" s="163" t="s">
        <v>330</v>
      </c>
      <c r="AH88" s="163">
        <v>300</v>
      </c>
      <c r="AI88" s="163" t="s">
        <v>330</v>
      </c>
    </row>
    <row r="89" spans="24:35" ht="13.5" thickBot="1">
      <c r="X89" s="162">
        <v>200</v>
      </c>
      <c r="Y89" s="163">
        <v>220</v>
      </c>
      <c r="Z89" s="163">
        <v>200</v>
      </c>
      <c r="AA89" s="163">
        <v>200</v>
      </c>
      <c r="AB89" s="163">
        <v>200</v>
      </c>
      <c r="AC89" s="163">
        <v>150</v>
      </c>
      <c r="AD89" s="163">
        <v>200</v>
      </c>
      <c r="AE89" s="163">
        <v>75</v>
      </c>
      <c r="AF89" s="163">
        <v>200</v>
      </c>
      <c r="AG89" s="163" t="s">
        <v>330</v>
      </c>
      <c r="AH89" s="163">
        <v>200</v>
      </c>
      <c r="AI89" s="163" t="s">
        <v>330</v>
      </c>
    </row>
    <row r="90" spans="24:35" ht="13.5" thickBot="1">
      <c r="X90" s="162">
        <v>100</v>
      </c>
      <c r="Y90" s="163">
        <v>325</v>
      </c>
      <c r="Z90" s="163">
        <v>100</v>
      </c>
      <c r="AA90" s="163">
        <v>260</v>
      </c>
      <c r="AB90" s="163">
        <v>100</v>
      </c>
      <c r="AC90" s="163">
        <v>225</v>
      </c>
      <c r="AD90" s="163">
        <v>100</v>
      </c>
      <c r="AE90" s="163">
        <v>190</v>
      </c>
      <c r="AF90" s="163">
        <v>100</v>
      </c>
      <c r="AG90" s="163">
        <v>45</v>
      </c>
      <c r="AH90" s="163">
        <v>100</v>
      </c>
      <c r="AI90" s="163">
        <v>30</v>
      </c>
    </row>
    <row r="91" spans="24:35" ht="13.5" thickBot="1">
      <c r="X91" s="164">
        <v>50</v>
      </c>
      <c r="Y91" s="165" t="s">
        <v>334</v>
      </c>
      <c r="Z91" s="165">
        <v>50</v>
      </c>
      <c r="AA91" s="165" t="s">
        <v>334</v>
      </c>
      <c r="AB91" s="165">
        <v>50</v>
      </c>
      <c r="AC91" s="165" t="s">
        <v>334</v>
      </c>
      <c r="AD91" s="165">
        <v>50</v>
      </c>
      <c r="AE91" s="165" t="s">
        <v>334</v>
      </c>
      <c r="AF91" s="165">
        <v>50</v>
      </c>
      <c r="AG91" s="165">
        <v>75</v>
      </c>
      <c r="AH91" s="165">
        <v>50</v>
      </c>
      <c r="AI91" s="165">
        <v>60</v>
      </c>
    </row>
    <row r="92" spans="24:35">
      <c r="X92" s="393" t="s">
        <v>331</v>
      </c>
      <c r="Y92" s="393"/>
      <c r="Z92" s="393"/>
      <c r="AA92" s="393"/>
      <c r="AB92" s="393"/>
      <c r="AC92" s="393"/>
      <c r="AD92" s="393"/>
      <c r="AE92" s="393"/>
      <c r="AF92" s="393"/>
      <c r="AG92" s="393"/>
      <c r="AH92" s="393"/>
      <c r="AI92" s="393"/>
    </row>
    <row r="93" spans="24:35">
      <c r="X93" s="395" t="s">
        <v>332</v>
      </c>
      <c r="Y93" s="395"/>
      <c r="Z93" s="395"/>
      <c r="AA93" s="395"/>
      <c r="AB93" s="395"/>
      <c r="AC93" s="395"/>
      <c r="AD93" s="395"/>
      <c r="AE93" s="395"/>
      <c r="AF93" s="395"/>
      <c r="AG93" s="395"/>
      <c r="AH93" s="395"/>
      <c r="AI93" s="395"/>
    </row>
    <row r="95" spans="24:35" ht="13.5" thickBot="1">
      <c r="Z95" s="31"/>
      <c r="AA95" s="398" t="s">
        <v>335</v>
      </c>
      <c r="AB95" s="399"/>
      <c r="AC95" s="31"/>
      <c r="AD95" s="31"/>
      <c r="AE95" s="31"/>
      <c r="AF95" s="31"/>
      <c r="AG95" s="31"/>
      <c r="AH95" s="31"/>
      <c r="AI95" s="31"/>
    </row>
    <row r="96" spans="24:35" ht="23.25" thickBot="1">
      <c r="AA96" s="160" t="s">
        <v>336</v>
      </c>
      <c r="AB96" s="161" t="s">
        <v>337</v>
      </c>
    </row>
    <row r="97" spans="27:29" ht="13.5" thickBot="1">
      <c r="AA97" s="162">
        <v>1</v>
      </c>
      <c r="AB97" s="163">
        <v>0.67</v>
      </c>
    </row>
    <row r="98" spans="27:29" ht="13.5" thickBot="1">
      <c r="AA98" s="162">
        <v>2</v>
      </c>
      <c r="AB98" s="163">
        <v>0.91</v>
      </c>
    </row>
    <row r="99" spans="27:29" ht="13.5" thickBot="1">
      <c r="AA99" s="162" t="s">
        <v>338</v>
      </c>
      <c r="AB99" s="163">
        <v>1</v>
      </c>
    </row>
    <row r="100" spans="27:29" ht="13.5" thickBot="1">
      <c r="AA100" s="162" t="s">
        <v>339</v>
      </c>
      <c r="AB100" s="163">
        <v>1.18</v>
      </c>
    </row>
    <row r="101" spans="27:29" ht="13.5" thickBot="1">
      <c r="AA101" s="162" t="s">
        <v>340</v>
      </c>
      <c r="AB101" s="163">
        <v>1.25</v>
      </c>
    </row>
    <row r="102" spans="27:29" ht="13.5" thickBot="1">
      <c r="AA102" s="164" t="s">
        <v>341</v>
      </c>
      <c r="AB102" s="165">
        <v>1.33</v>
      </c>
    </row>
    <row r="104" spans="27:29" ht="13.5" thickBot="1">
      <c r="AA104" s="398" t="s">
        <v>342</v>
      </c>
      <c r="AB104" s="399"/>
    </row>
    <row r="105" spans="27:29" ht="33.75">
      <c r="AA105" s="160" t="s">
        <v>343</v>
      </c>
      <c r="AB105" s="400" t="s">
        <v>337</v>
      </c>
    </row>
    <row r="106" spans="27:29" ht="34.5" thickBot="1">
      <c r="AA106" s="167" t="s">
        <v>344</v>
      </c>
      <c r="AB106" s="401"/>
    </row>
    <row r="107" spans="27:29" ht="13.5" thickBot="1">
      <c r="AA107" s="168">
        <v>0</v>
      </c>
      <c r="AB107" s="163">
        <v>1</v>
      </c>
    </row>
    <row r="108" spans="27:29" ht="13.5" thickBot="1">
      <c r="AA108" s="168">
        <v>0.02</v>
      </c>
      <c r="AB108" s="163">
        <v>1.0900000000000001</v>
      </c>
    </row>
    <row r="109" spans="27:29" ht="13.5" thickBot="1">
      <c r="AA109" s="168">
        <v>0.04</v>
      </c>
      <c r="AB109" s="163">
        <v>1.19</v>
      </c>
    </row>
    <row r="110" spans="27:29" ht="13.5" thickBot="1">
      <c r="AA110" s="164" t="s">
        <v>345</v>
      </c>
      <c r="AB110" s="165">
        <v>1.32</v>
      </c>
    </row>
    <row r="112" spans="27:29" ht="13.5" thickBot="1">
      <c r="AA112" s="398" t="s">
        <v>346</v>
      </c>
      <c r="AB112" s="399"/>
      <c r="AC112" s="399"/>
    </row>
    <row r="113" spans="27:29" ht="35.25" thickBot="1">
      <c r="AA113" s="169" t="s">
        <v>347</v>
      </c>
      <c r="AB113" s="402" t="s">
        <v>337</v>
      </c>
      <c r="AC113" s="403"/>
    </row>
    <row r="114" spans="27:29" ht="35.25" thickBot="1">
      <c r="AA114" s="170" t="s">
        <v>344</v>
      </c>
      <c r="AB114" s="171" t="s">
        <v>348</v>
      </c>
      <c r="AC114" s="171" t="s">
        <v>349</v>
      </c>
    </row>
    <row r="115" spans="27:29" ht="13.5" thickBot="1">
      <c r="AA115" s="162" t="s">
        <v>350</v>
      </c>
      <c r="AB115" s="163">
        <v>0.5</v>
      </c>
      <c r="AC115" s="163">
        <v>0.5</v>
      </c>
    </row>
    <row r="116" spans="27:29" ht="13.5" thickBot="1">
      <c r="AA116" s="162" t="s">
        <v>351</v>
      </c>
      <c r="AB116" s="163">
        <v>0.75</v>
      </c>
      <c r="AC116" s="163">
        <v>0.75</v>
      </c>
    </row>
    <row r="117" spans="27:29" ht="24" thickBot="1">
      <c r="AA117" s="162" t="s">
        <v>352</v>
      </c>
      <c r="AB117" s="163">
        <v>1</v>
      </c>
      <c r="AC117" s="163">
        <v>1</v>
      </c>
    </row>
    <row r="118" spans="27:29" ht="24" thickBot="1">
      <c r="AA118" s="162" t="s">
        <v>353</v>
      </c>
      <c r="AB118" s="163">
        <v>2.2999999999999998</v>
      </c>
      <c r="AC118" s="163">
        <v>1.1499999999999999</v>
      </c>
    </row>
    <row r="119" spans="27:29" ht="24" thickBot="1">
      <c r="AA119" s="162" t="s">
        <v>354</v>
      </c>
      <c r="AB119" s="163">
        <v>2.7</v>
      </c>
      <c r="AC119" s="163">
        <v>1.35</v>
      </c>
    </row>
    <row r="120" spans="27:29" ht="24" thickBot="1">
      <c r="AA120" s="162" t="s">
        <v>355</v>
      </c>
      <c r="AB120" s="163">
        <v>3.28</v>
      </c>
      <c r="AC120" s="163">
        <v>1.64</v>
      </c>
    </row>
    <row r="121" spans="27:29" ht="24" thickBot="1">
      <c r="AA121" s="164" t="s">
        <v>356</v>
      </c>
      <c r="AB121" s="165">
        <v>4.18</v>
      </c>
      <c r="AC121" s="165">
        <v>2.09</v>
      </c>
    </row>
  </sheetData>
  <sheetProtection password="E0BD" sheet="1" objects="1" scenarios="1" selectLockedCells="1"/>
  <dataConsolidate/>
  <mergeCells count="38">
    <mergeCell ref="D9:E9"/>
    <mergeCell ref="A9:C9"/>
    <mergeCell ref="A11:B11"/>
    <mergeCell ref="A2:H2"/>
    <mergeCell ref="B7:C7"/>
    <mergeCell ref="B5:C5"/>
    <mergeCell ref="AA95:AB95"/>
    <mergeCell ref="AA104:AB104"/>
    <mergeCell ref="AB105:AB106"/>
    <mergeCell ref="AA112:AC112"/>
    <mergeCell ref="AB113:AC113"/>
    <mergeCell ref="AH81:AI81"/>
    <mergeCell ref="X92:AI92"/>
    <mergeCell ref="X93:AI93"/>
    <mergeCell ref="X81:Y81"/>
    <mergeCell ref="Z81:AA81"/>
    <mergeCell ref="AB81:AC81"/>
    <mergeCell ref="AD81:AE81"/>
    <mergeCell ref="AF81:AG81"/>
    <mergeCell ref="X73:AI73"/>
    <mergeCell ref="X74:AI74"/>
    <mergeCell ref="X75:AI75"/>
    <mergeCell ref="X76:AI76"/>
    <mergeCell ref="X80:AI80"/>
    <mergeCell ref="X61:AI61"/>
    <mergeCell ref="X62:Y62"/>
    <mergeCell ref="Z62:AA62"/>
    <mergeCell ref="AB62:AC62"/>
    <mergeCell ref="AD62:AE62"/>
    <mergeCell ref="AF62:AG62"/>
    <mergeCell ref="AH62:AI62"/>
    <mergeCell ref="J62:U62"/>
    <mergeCell ref="J63:K63"/>
    <mergeCell ref="L63:M63"/>
    <mergeCell ref="N63:O63"/>
    <mergeCell ref="P63:Q63"/>
    <mergeCell ref="R63:S63"/>
    <mergeCell ref="T63:U63"/>
  </mergeCells>
  <dataValidations count="5">
    <dataValidation type="list" allowBlank="1" showInputMessage="1" showErrorMessage="1" sqref="D9:E9">
      <formula1>Direction</formula1>
    </dataValidation>
    <dataValidation type="list" allowBlank="1" showInputMessage="1" showErrorMessage="1" sqref="C11">
      <formula1>Lanes</formula1>
    </dataValidation>
    <dataValidation type="decimal" allowBlank="1" showInputMessage="1" showErrorMessage="1" error="Enter the % Buses as a decimal between 0 and 90 " sqref="B17">
      <formula1>0</formula1>
      <formula2>90</formula2>
    </dataValidation>
    <dataValidation type="decimal" allowBlank="1" showInputMessage="1" showErrorMessage="1" error="Enter the % Trucks as a decimal between 0 and 90 " sqref="B19">
      <formula1>0</formula1>
      <formula2>90</formula2>
    </dataValidation>
    <dataValidation type="whole" allowBlank="1" showInputMessage="1" showErrorMessage="1" error="You have either entered a number that is too small (assume at least 1 train per day) or too large (there are no crossings in Wyoming with more than 100 trains per day)." sqref="B15">
      <formula1>1</formula1>
      <formula2>110</formula2>
    </dataValidation>
  </dataValidations>
  <printOptions horizontalCentered="1" verticalCentered="1"/>
  <pageMargins left="0.25" right="0.25" top="0.25" bottom="0.25"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dimension ref="A1:AA59"/>
  <sheetViews>
    <sheetView zoomScaleNormal="100" workbookViewId="0"/>
  </sheetViews>
  <sheetFormatPr defaultRowHeight="12.75"/>
  <cols>
    <col min="1" max="1" width="1.7109375" customWidth="1"/>
    <col min="2" max="2" width="6.7109375" customWidth="1"/>
    <col min="3" max="3" width="5.85546875" customWidth="1"/>
    <col min="4" max="4" width="3.7109375" customWidth="1"/>
    <col min="5" max="5" width="6.42578125" customWidth="1"/>
    <col min="6" max="6" width="3.42578125" customWidth="1"/>
    <col min="7" max="7" width="7.140625" customWidth="1"/>
    <col min="8" max="8" width="4" customWidth="1"/>
    <col min="9" max="9" width="3.7109375" customWidth="1"/>
    <col min="10" max="14" width="6.5703125" customWidth="1"/>
    <col min="15" max="15" width="6.5703125" style="31" customWidth="1"/>
    <col min="16" max="16" width="3.7109375" customWidth="1"/>
    <col min="17" max="18" width="2.85546875" customWidth="1"/>
    <col min="19" max="19" width="3.7109375" customWidth="1"/>
    <col min="20" max="20" width="1.7109375" customWidth="1"/>
    <col min="22" max="22" width="6.42578125" bestFit="1" customWidth="1"/>
    <col min="23" max="23" width="11.5703125" bestFit="1" customWidth="1"/>
    <col min="24" max="24" width="7.7109375" customWidth="1"/>
    <col min="25" max="25" width="7.140625" bestFit="1" customWidth="1"/>
    <col min="26" max="26" width="8.85546875" bestFit="1" customWidth="1"/>
    <col min="27" max="27" width="7.140625" bestFit="1" customWidth="1"/>
  </cols>
  <sheetData>
    <row r="1" spans="1:20" ht="4.5" customHeight="1">
      <c r="A1" s="12"/>
      <c r="B1" s="13"/>
      <c r="C1" s="13"/>
      <c r="D1" s="13"/>
      <c r="E1" s="13"/>
      <c r="F1" s="13"/>
      <c r="G1" s="13"/>
      <c r="H1" s="13"/>
      <c r="I1" s="13"/>
      <c r="J1" s="13"/>
      <c r="K1" s="13"/>
      <c r="L1" s="13"/>
      <c r="M1" s="13"/>
      <c r="N1" s="13"/>
      <c r="O1" s="69"/>
      <c r="P1" s="13"/>
      <c r="Q1" s="13"/>
      <c r="R1" s="13"/>
      <c r="S1" s="13"/>
      <c r="T1" s="14"/>
    </row>
    <row r="2" spans="1:20">
      <c r="A2" s="178"/>
      <c r="B2" s="176" t="s">
        <v>446</v>
      </c>
      <c r="C2" s="8"/>
      <c r="D2" s="8"/>
      <c r="E2" s="8"/>
      <c r="F2" s="8"/>
      <c r="G2" s="8"/>
      <c r="H2" s="8"/>
      <c r="I2" s="8"/>
      <c r="J2" s="8"/>
      <c r="K2" s="8"/>
      <c r="L2" s="8"/>
      <c r="M2" s="8"/>
      <c r="N2" s="8"/>
      <c r="O2" s="29"/>
      <c r="P2" s="8"/>
      <c r="Q2" s="8"/>
      <c r="R2" s="8"/>
      <c r="S2" s="177" t="s">
        <v>367</v>
      </c>
      <c r="T2" s="9"/>
    </row>
    <row r="3" spans="1:20" ht="15.75">
      <c r="A3" s="7"/>
      <c r="B3" s="299" t="s">
        <v>46</v>
      </c>
      <c r="C3" s="299"/>
      <c r="D3" s="299"/>
      <c r="E3" s="299"/>
      <c r="F3" s="299"/>
      <c r="G3" s="299"/>
      <c r="H3" s="299"/>
      <c r="I3" s="299"/>
      <c r="J3" s="299"/>
      <c r="K3" s="299"/>
      <c r="L3" s="299"/>
      <c r="M3" s="299"/>
      <c r="N3" s="299"/>
      <c r="O3" s="299"/>
      <c r="P3" s="299"/>
      <c r="Q3" s="299"/>
      <c r="R3" s="299"/>
      <c r="S3" s="299"/>
      <c r="T3" s="52"/>
    </row>
    <row r="4" spans="1:20" ht="15.75">
      <c r="A4" s="7"/>
      <c r="B4" s="299" t="s">
        <v>47</v>
      </c>
      <c r="C4" s="299"/>
      <c r="D4" s="299"/>
      <c r="E4" s="299"/>
      <c r="F4" s="299"/>
      <c r="G4" s="299"/>
      <c r="H4" s="299"/>
      <c r="I4" s="299"/>
      <c r="J4" s="299"/>
      <c r="K4" s="299"/>
      <c r="L4" s="299"/>
      <c r="M4" s="299"/>
      <c r="N4" s="299"/>
      <c r="O4" s="299"/>
      <c r="P4" s="299"/>
      <c r="Q4" s="299"/>
      <c r="R4" s="299"/>
      <c r="S4" s="299"/>
      <c r="T4" s="52"/>
    </row>
    <row r="5" spans="1:20" ht="15.75">
      <c r="A5" s="7"/>
      <c r="B5" s="299" t="s">
        <v>363</v>
      </c>
      <c r="C5" s="299"/>
      <c r="D5" s="299"/>
      <c r="E5" s="299"/>
      <c r="F5" s="299"/>
      <c r="G5" s="299"/>
      <c r="H5" s="299"/>
      <c r="I5" s="299"/>
      <c r="J5" s="299"/>
      <c r="K5" s="299"/>
      <c r="L5" s="299"/>
      <c r="M5" s="299"/>
      <c r="N5" s="299"/>
      <c r="O5" s="299"/>
      <c r="P5" s="299"/>
      <c r="Q5" s="299"/>
      <c r="R5" s="299"/>
      <c r="S5" s="299"/>
      <c r="T5" s="52"/>
    </row>
    <row r="6" spans="1:20" ht="12" customHeight="1">
      <c r="A6" s="7"/>
      <c r="B6" s="8"/>
      <c r="C6" s="8"/>
      <c r="D6" s="8"/>
      <c r="E6" s="8"/>
      <c r="F6" s="8"/>
      <c r="G6" s="29"/>
      <c r="H6" s="8"/>
      <c r="I6" s="8"/>
      <c r="J6" s="8"/>
      <c r="K6" s="8"/>
      <c r="L6" s="8"/>
      <c r="M6" s="8"/>
      <c r="N6" s="8"/>
      <c r="O6" s="29"/>
      <c r="T6" s="9"/>
    </row>
    <row r="7" spans="1:20" ht="13.5" customHeight="1">
      <c r="A7" s="7"/>
      <c r="B7" s="8"/>
      <c r="C7" s="8"/>
      <c r="D7" s="8"/>
      <c r="E7" s="8"/>
      <c r="F7" s="8"/>
      <c r="G7" s="31"/>
      <c r="K7" s="15" t="s">
        <v>174</v>
      </c>
      <c r="L7" s="296" t="str">
        <f>'Pg 1'!I5</f>
        <v/>
      </c>
      <c r="M7" s="296"/>
      <c r="P7" s="15" t="s">
        <v>173</v>
      </c>
      <c r="Q7" s="322">
        <f ca="1">'Pg 1'!M5</f>
        <v>42073</v>
      </c>
      <c r="R7" s="322"/>
      <c r="S7" s="322"/>
      <c r="T7" s="9"/>
    </row>
    <row r="8" spans="1:20" ht="6" customHeight="1">
      <c r="A8" s="7"/>
      <c r="B8" s="8"/>
      <c r="C8" s="8"/>
      <c r="D8" s="8"/>
      <c r="E8" s="8"/>
      <c r="F8" s="8"/>
      <c r="G8" s="8"/>
      <c r="K8" s="8"/>
      <c r="L8" s="8"/>
      <c r="M8" s="8"/>
      <c r="P8" s="29"/>
      <c r="S8" s="31"/>
      <c r="T8" s="9"/>
    </row>
    <row r="9" spans="1:20" ht="13.5" customHeight="1">
      <c r="A9" s="7"/>
      <c r="B9" s="320" t="str">
        <f>IF('Input Sheet'!B6=0," ",'Input Sheet'!B6)</f>
        <v xml:space="preserve"> </v>
      </c>
      <c r="C9" s="296"/>
      <c r="D9" s="319"/>
      <c r="E9" s="152" t="str">
        <f>IF('Input Sheet'!E6=0," ",'Input Sheet'!E6)</f>
        <v xml:space="preserve"> </v>
      </c>
      <c r="F9" s="320" t="str">
        <f>IF('Input Sheet'!F6=0," ",'Input Sheet'!F6)</f>
        <v xml:space="preserve"> </v>
      </c>
      <c r="G9" s="319"/>
      <c r="K9" s="15" t="s">
        <v>175</v>
      </c>
      <c r="L9" s="296" t="str">
        <f>'Pg 1'!I7</f>
        <v xml:space="preserve"> </v>
      </c>
      <c r="M9" s="296"/>
      <c r="P9" s="15" t="s">
        <v>172</v>
      </c>
      <c r="Q9" s="322" t="str">
        <f>'Pg 1'!M7</f>
        <v xml:space="preserve"> </v>
      </c>
      <c r="R9" s="322"/>
      <c r="S9" s="322"/>
      <c r="T9" s="9"/>
    </row>
    <row r="10" spans="1:20" ht="12" customHeight="1">
      <c r="A10" s="7"/>
      <c r="B10" s="302" t="s">
        <v>5</v>
      </c>
      <c r="C10" s="302"/>
      <c r="D10" s="302"/>
      <c r="E10" s="150" t="s">
        <v>6</v>
      </c>
      <c r="F10" s="321" t="s">
        <v>7</v>
      </c>
      <c r="G10" s="321"/>
      <c r="J10" s="8"/>
      <c r="K10" s="8"/>
      <c r="L10" s="8"/>
      <c r="M10" s="8"/>
      <c r="N10" s="8"/>
      <c r="O10" s="29"/>
      <c r="T10" s="9"/>
    </row>
    <row r="11" spans="1:20" ht="6" customHeight="1">
      <c r="A11" s="7"/>
      <c r="B11" s="8"/>
      <c r="C11" s="8"/>
      <c r="D11" s="8"/>
      <c r="E11" s="8"/>
      <c r="F11" s="8"/>
      <c r="G11" s="29"/>
      <c r="H11" s="8"/>
      <c r="I11" s="8"/>
      <c r="J11" s="8"/>
      <c r="K11" s="8"/>
      <c r="L11" s="8"/>
      <c r="M11" s="8"/>
      <c r="N11" s="8"/>
      <c r="O11" s="29"/>
      <c r="T11" s="9"/>
    </row>
    <row r="12" spans="1:20" ht="13.5" customHeight="1">
      <c r="A12" s="7"/>
      <c r="B12" s="378" t="s">
        <v>381</v>
      </c>
      <c r="C12" s="407"/>
      <c r="D12" s="296" t="str">
        <f>'Pg 1'!C10</f>
        <v xml:space="preserve"> </v>
      </c>
      <c r="E12" s="296"/>
      <c r="F12" s="296"/>
      <c r="G12" s="296"/>
      <c r="H12" s="378" t="s">
        <v>382</v>
      </c>
      <c r="I12" s="378"/>
      <c r="J12" s="378"/>
      <c r="K12" s="296" t="str">
        <f>'Pg 1'!C12</f>
        <v xml:space="preserve"> </v>
      </c>
      <c r="L12" s="296"/>
      <c r="M12" s="296"/>
      <c r="P12" s="166"/>
      <c r="Q12" s="15"/>
      <c r="R12" s="107" t="s">
        <v>383</v>
      </c>
      <c r="S12" s="157">
        <f>IF('Wrnt 9 Input'!C11&lt;1,0,'Wrnt 9 Input'!C11)</f>
        <v>0</v>
      </c>
      <c r="T12" s="9"/>
    </row>
    <row r="13" spans="1:20" ht="13.5" customHeight="1">
      <c r="A13" s="7"/>
      <c r="B13" s="8"/>
      <c r="D13" s="8"/>
      <c r="E13" s="8"/>
      <c r="F13" s="8"/>
      <c r="G13" s="31"/>
      <c r="K13" s="8"/>
      <c r="M13" s="8"/>
      <c r="N13" s="8"/>
      <c r="P13" s="166"/>
      <c r="Q13" s="29"/>
      <c r="R13" s="193" t="s">
        <v>384</v>
      </c>
      <c r="S13" s="8"/>
      <c r="T13" s="9"/>
    </row>
    <row r="14" spans="1:20" ht="13.5" customHeight="1">
      <c r="A14" s="7"/>
      <c r="B14" s="117" t="s">
        <v>373</v>
      </c>
      <c r="G14" s="157">
        <f>'Wrnt 9 Input'!B15</f>
        <v>0</v>
      </c>
      <c r="J14" s="117" t="s">
        <v>377</v>
      </c>
      <c r="N14" s="157">
        <f>'Wrnt 9 Input'!B13</f>
        <v>0</v>
      </c>
      <c r="S14" s="189"/>
      <c r="T14" s="9"/>
    </row>
    <row r="15" spans="1:20" ht="6" customHeight="1">
      <c r="A15" s="7"/>
      <c r="T15" s="9"/>
    </row>
    <row r="16" spans="1:20" ht="13.5" customHeight="1">
      <c r="A16" s="7"/>
      <c r="B16" s="117" t="s">
        <v>364</v>
      </c>
      <c r="K16" s="157">
        <f>'Wrnt 9 Input'!B17</f>
        <v>0</v>
      </c>
      <c r="S16" s="183"/>
      <c r="T16" s="9"/>
    </row>
    <row r="17" spans="1:20" ht="6" customHeight="1">
      <c r="A17" s="7"/>
      <c r="S17" s="183"/>
      <c r="T17" s="9"/>
    </row>
    <row r="18" spans="1:20" ht="13.5" customHeight="1">
      <c r="A18" s="7"/>
      <c r="B18" s="117" t="s">
        <v>365</v>
      </c>
      <c r="K18" s="157">
        <f>'Wrnt 9 Input'!B19</f>
        <v>0</v>
      </c>
      <c r="S18" s="183"/>
      <c r="T18" s="9"/>
    </row>
    <row r="19" spans="1:20" s="166" customFormat="1" ht="6" customHeight="1">
      <c r="A19" s="7"/>
      <c r="S19" s="183"/>
      <c r="T19" s="9"/>
    </row>
    <row r="20" spans="1:20" s="166" customFormat="1">
      <c r="A20" s="7"/>
      <c r="C20" s="8"/>
      <c r="D20" s="8"/>
      <c r="E20" s="8"/>
      <c r="F20" s="8"/>
      <c r="G20" s="29"/>
      <c r="H20" s="8"/>
      <c r="K20" s="8"/>
      <c r="L20" s="107"/>
      <c r="M20" s="8"/>
      <c r="O20" s="31"/>
      <c r="R20" s="99"/>
      <c r="S20" s="183"/>
      <c r="T20" s="9"/>
    </row>
    <row r="21" spans="1:20" ht="13.5" customHeight="1">
      <c r="A21" s="7"/>
      <c r="B21" s="191" t="s">
        <v>372</v>
      </c>
      <c r="T21" s="9"/>
    </row>
    <row r="22" spans="1:20" s="166" customFormat="1" ht="6" customHeight="1">
      <c r="A22" s="7"/>
      <c r="O22" s="31"/>
      <c r="T22" s="9"/>
    </row>
    <row r="23" spans="1:20" s="166" customFormat="1" ht="13.5" customHeight="1">
      <c r="A23" s="7"/>
      <c r="B23" s="186" t="s">
        <v>368</v>
      </c>
      <c r="C23" s="187"/>
      <c r="D23" s="187"/>
      <c r="E23" s="187"/>
      <c r="F23" s="187"/>
      <c r="G23" s="188"/>
      <c r="H23" s="187"/>
      <c r="I23" s="187"/>
      <c r="J23" s="192">
        <f>Worksheet!FL88</f>
        <v>0.67</v>
      </c>
      <c r="K23" s="189" t="str">
        <f>CONCATENATE("  (From MUTCD Table 4C-2, based on ",'Wrnt 9 Input'!B15," trains per day)")</f>
        <v xml:space="preserve">  (From MUTCD Table 4C-2, based on  trains per day)</v>
      </c>
      <c r="L23" s="187"/>
      <c r="M23" s="189"/>
      <c r="N23" s="86"/>
      <c r="O23" s="189"/>
      <c r="P23" s="86"/>
      <c r="Q23" s="190"/>
      <c r="R23" s="189"/>
      <c r="T23" s="9"/>
    </row>
    <row r="24" spans="1:20" s="166" customFormat="1" ht="13.5" customHeight="1">
      <c r="A24" s="7"/>
      <c r="B24" s="8"/>
      <c r="C24" s="8"/>
      <c r="D24" s="8"/>
      <c r="E24" s="8"/>
      <c r="F24" s="8"/>
      <c r="G24" s="29"/>
      <c r="H24" s="8"/>
      <c r="I24" s="8"/>
      <c r="J24" s="8"/>
      <c r="K24" s="8"/>
      <c r="L24" s="8"/>
      <c r="M24" s="8"/>
      <c r="N24" s="8"/>
      <c r="O24" s="29"/>
      <c r="P24"/>
      <c r="Q24"/>
      <c r="R24"/>
      <c r="T24" s="9"/>
    </row>
    <row r="25" spans="1:20" ht="13.5" customHeight="1">
      <c r="A25" s="7"/>
      <c r="B25" s="186" t="s">
        <v>369</v>
      </c>
      <c r="C25" s="8"/>
      <c r="D25" s="8"/>
      <c r="E25" s="8"/>
      <c r="F25" s="8"/>
      <c r="G25" s="29"/>
      <c r="H25" s="8"/>
      <c r="K25" s="157">
        <f>Worksheet!FL98</f>
        <v>1</v>
      </c>
      <c r="L25" s="189" t="str">
        <f>CONCATENATE("  (From MUTCD Table 4C-3, based on ",'Wrnt 9 Input'!B17,"% buses)")</f>
        <v xml:space="preserve">  (From MUTCD Table 4C-3, based on % buses)</v>
      </c>
      <c r="M25" s="8"/>
      <c r="R25" s="220"/>
      <c r="S25" s="8"/>
      <c r="T25" s="9"/>
    </row>
    <row r="26" spans="1:20" ht="15" customHeight="1">
      <c r="A26" s="7"/>
      <c r="B26" s="8"/>
      <c r="C26" s="8"/>
      <c r="D26" s="8"/>
      <c r="E26" s="8"/>
      <c r="F26" s="8"/>
      <c r="G26" s="29"/>
      <c r="H26" s="8"/>
      <c r="K26" s="8"/>
      <c r="L26" s="219"/>
      <c r="M26" s="8"/>
      <c r="R26" s="8"/>
      <c r="S26" s="8"/>
      <c r="T26" s="9"/>
    </row>
    <row r="27" spans="1:20" ht="15" customHeight="1">
      <c r="A27" s="7"/>
      <c r="B27" s="186" t="s">
        <v>370</v>
      </c>
      <c r="C27" s="8"/>
      <c r="D27" s="8"/>
      <c r="E27" s="8"/>
      <c r="F27" s="8"/>
      <c r="G27" s="29"/>
      <c r="H27" s="8"/>
      <c r="K27" s="157">
        <f>Worksheet!FL106</f>
        <v>0.5</v>
      </c>
      <c r="L27" s="189" t="str">
        <f>CONCATENATE("  (From MUTCD Table 4C-4, based on ",'Wrnt 9 Input'!B19,"% trucks")</f>
        <v xml:space="preserve">  (From MUTCD Table 4C-4, based on % trucks</v>
      </c>
      <c r="M27" s="8"/>
      <c r="R27" s="99"/>
      <c r="S27" s="8"/>
      <c r="T27" s="9"/>
    </row>
    <row r="28" spans="1:20" ht="15" customHeight="1">
      <c r="A28" s="7"/>
      <c r="B28" s="166"/>
      <c r="C28" s="8"/>
      <c r="D28" s="8"/>
      <c r="E28" s="8"/>
      <c r="F28" s="8"/>
      <c r="G28" s="29"/>
      <c r="H28" s="8"/>
      <c r="I28" s="166"/>
      <c r="J28" s="166"/>
      <c r="K28" s="8"/>
      <c r="L28" s="189" t="str">
        <f>CONCATENATE("  and ",'Wrnt 9 Input'!B13," ft. clear storage distance)")</f>
        <v xml:space="preserve">  and  ft. clear storage distance)</v>
      </c>
      <c r="M28" s="8"/>
      <c r="N28" s="166"/>
      <c r="P28" s="166"/>
      <c r="Q28" s="166"/>
      <c r="R28" s="99"/>
      <c r="S28" s="8"/>
      <c r="T28" s="9"/>
    </row>
    <row r="29" spans="1:20" ht="9" customHeight="1" thickBot="1">
      <c r="A29" s="7"/>
      <c r="B29" s="10"/>
      <c r="C29" s="10"/>
      <c r="D29" s="10"/>
      <c r="E29" s="10"/>
      <c r="F29" s="10"/>
      <c r="G29" s="70"/>
      <c r="H29" s="10"/>
      <c r="I29" s="10"/>
      <c r="J29" s="10"/>
      <c r="K29" s="10"/>
      <c r="L29" s="10"/>
      <c r="M29" s="10"/>
      <c r="N29" s="10"/>
      <c r="O29" s="70"/>
      <c r="P29" s="10"/>
      <c r="Q29" s="10"/>
      <c r="R29" s="10"/>
      <c r="S29" s="70"/>
      <c r="T29" s="9"/>
    </row>
    <row r="30" spans="1:20" ht="21" customHeight="1">
      <c r="A30" s="7"/>
      <c r="B30" s="24" t="s">
        <v>299</v>
      </c>
      <c r="C30" s="8"/>
      <c r="D30" s="8"/>
      <c r="E30" s="8"/>
      <c r="F30" s="8"/>
      <c r="G30" s="8"/>
      <c r="H30" s="8"/>
      <c r="I30" s="8"/>
      <c r="J30" s="8"/>
      <c r="K30" s="8"/>
      <c r="L30" s="8"/>
      <c r="M30" s="8"/>
      <c r="N30" s="8"/>
      <c r="O30" s="29"/>
      <c r="P30" s="8"/>
      <c r="Q30" s="8"/>
      <c r="R30" s="8"/>
      <c r="S30" s="8"/>
      <c r="T30" s="9"/>
    </row>
    <row r="31" spans="1:20" ht="13.15" customHeight="1">
      <c r="A31" s="7"/>
      <c r="B31" s="24"/>
      <c r="C31" s="8"/>
      <c r="D31" s="8"/>
      <c r="E31" s="8"/>
      <c r="F31" s="8"/>
      <c r="G31" s="8"/>
      <c r="H31" s="8"/>
      <c r="I31" s="8"/>
      <c r="J31" s="8"/>
      <c r="K31" s="30"/>
      <c r="L31" s="30"/>
      <c r="M31" s="30"/>
      <c r="N31" s="26" t="s">
        <v>95</v>
      </c>
      <c r="O31" s="26" t="s">
        <v>73</v>
      </c>
      <c r="P31" s="46" t="str">
        <f>IF(COUNTIF(J36:R36,"Yes")&gt;=1,"X","")</f>
        <v/>
      </c>
      <c r="Q31" s="8"/>
      <c r="R31" s="26" t="s">
        <v>74</v>
      </c>
      <c r="S31" s="46" t="str">
        <f>IF(P31="X","","X")</f>
        <v>X</v>
      </c>
      <c r="T31" s="9"/>
    </row>
    <row r="32" spans="1:20" ht="6" customHeight="1">
      <c r="A32" s="7"/>
      <c r="B32" s="8"/>
      <c r="C32" s="8"/>
      <c r="D32" s="8"/>
      <c r="E32" s="8"/>
      <c r="F32" s="8"/>
      <c r="G32" s="8"/>
      <c r="H32" s="8"/>
      <c r="I32" s="8"/>
      <c r="J32" s="8"/>
      <c r="K32" s="8"/>
      <c r="L32" s="8"/>
      <c r="M32" s="8"/>
      <c r="N32" s="8"/>
      <c r="O32" s="29"/>
      <c r="P32" s="8"/>
      <c r="Q32" s="8"/>
      <c r="R32" s="8"/>
      <c r="S32" s="8"/>
      <c r="T32" s="9"/>
    </row>
    <row r="33" spans="1:27" ht="15" customHeight="1">
      <c r="A33" s="51"/>
      <c r="B33" s="406"/>
      <c r="C33" s="406"/>
      <c r="D33" s="29"/>
      <c r="E33" s="29"/>
      <c r="F33" s="29"/>
      <c r="G33" s="29"/>
      <c r="H33" s="29"/>
      <c r="I33" s="29"/>
      <c r="J33" s="151" t="str">
        <f>IF($S$12&lt;&gt;1,"N/A",Worksheet!FU18)</f>
        <v>N/A</v>
      </c>
      <c r="K33" s="116" t="str">
        <f>IF($S$12&lt;&gt;1,"N/A",Worksheet!FU19)</f>
        <v>N/A</v>
      </c>
      <c r="L33" s="116" t="str">
        <f>IF($S$12&lt;&gt;1,"N/A",Worksheet!FU20)</f>
        <v>N/A</v>
      </c>
      <c r="M33" s="116" t="str">
        <f>IF($S$12&lt;&gt;1,"N/A",Worksheet!FU21)</f>
        <v>N/A</v>
      </c>
      <c r="N33" s="116" t="str">
        <f>IF($S$12&lt;&gt;1,"N/A",Worksheet!FU22)</f>
        <v>N/A</v>
      </c>
      <c r="O33" s="116" t="str">
        <f>IF($S$12&lt;&gt;1,"N/A",Worksheet!FU23)</f>
        <v>N/A</v>
      </c>
      <c r="P33" s="327" t="str">
        <f>IF($S$12&lt;&gt;1,"N/A",Worksheet!FU24)</f>
        <v>N/A</v>
      </c>
      <c r="Q33" s="328"/>
      <c r="R33" s="327" t="str">
        <f>IF($S$12&lt;&gt;1,"N/A",Worksheet!FU25)</f>
        <v>N/A</v>
      </c>
      <c r="S33" s="328"/>
      <c r="T33" s="9"/>
    </row>
    <row r="34" spans="1:27" ht="15" customHeight="1">
      <c r="A34" s="7"/>
      <c r="B34" s="179" t="s">
        <v>374</v>
      </c>
      <c r="C34" s="180"/>
      <c r="D34" s="46"/>
      <c r="E34" s="84"/>
      <c r="F34" s="73"/>
      <c r="G34" s="73"/>
      <c r="H34" s="73"/>
      <c r="I34" s="181"/>
      <c r="J34" s="153" t="str">
        <f>IF($S$12&lt;&gt;1,"N/A",Worksheet!FV18)</f>
        <v>N/A</v>
      </c>
      <c r="K34" s="47" t="str">
        <f>IF($S$12&lt;&gt;1,"N/A",Worksheet!FV19)</f>
        <v>N/A</v>
      </c>
      <c r="L34" s="47" t="str">
        <f>IF($S$12&lt;&gt;1,"N/A",Worksheet!FV20)</f>
        <v>N/A</v>
      </c>
      <c r="M34" s="47" t="str">
        <f>IF($S$12&lt;&gt;1,"N/A",Worksheet!FV21)</f>
        <v>N/A</v>
      </c>
      <c r="N34" s="47" t="str">
        <f>IF($S$12&lt;&gt;1,"N/A",Worksheet!FV22)</f>
        <v>N/A</v>
      </c>
      <c r="O34" s="47" t="str">
        <f>IF($S$12&lt;&gt;1,"N/A",Worksheet!FV23)</f>
        <v>N/A</v>
      </c>
      <c r="P34" s="343" t="str">
        <f>IF($S$12&lt;&gt;1,"N/A",Worksheet!FV24)</f>
        <v>N/A</v>
      </c>
      <c r="Q34" s="344"/>
      <c r="R34" s="343" t="str">
        <f>IF($S$12&lt;&gt;1,"N/A",Worksheet!FV25)</f>
        <v>N/A</v>
      </c>
      <c r="S34" s="344"/>
      <c r="T34" s="9"/>
    </row>
    <row r="35" spans="1:27" ht="15" customHeight="1">
      <c r="A35" s="7"/>
      <c r="B35" s="179" t="s">
        <v>375</v>
      </c>
      <c r="C35" s="180"/>
      <c r="D35" s="46"/>
      <c r="E35" s="84"/>
      <c r="F35" s="73"/>
      <c r="G35" s="73"/>
      <c r="H35" s="73"/>
      <c r="I35" s="73"/>
      <c r="J35" s="153" t="str">
        <f>IF($S$12&lt;&gt;1,"N/A",Worksheet!FW18)</f>
        <v>N/A</v>
      </c>
      <c r="K35" s="47" t="str">
        <f>IF($S$12&lt;&gt;1,"N/A",Worksheet!FW19)</f>
        <v>N/A</v>
      </c>
      <c r="L35" s="47" t="str">
        <f>IF($S$12&lt;&gt;1,"N/A",Worksheet!FW20)</f>
        <v>N/A</v>
      </c>
      <c r="M35" s="47" t="str">
        <f>IF($S$12&lt;&gt;1,"N/A",Worksheet!FW21)</f>
        <v>N/A</v>
      </c>
      <c r="N35" s="47" t="str">
        <f>IF($S$12&lt;&gt;1,"N/A",Worksheet!FW22)</f>
        <v>N/A</v>
      </c>
      <c r="O35" s="47" t="str">
        <f>IF($S$12&lt;&gt;1,"N/A",Worksheet!FW23)</f>
        <v>N/A</v>
      </c>
      <c r="P35" s="343" t="str">
        <f>IF($S$12&lt;&gt;1,"N/A",Worksheet!FW24)</f>
        <v>N/A</v>
      </c>
      <c r="Q35" s="344"/>
      <c r="R35" s="343" t="str">
        <f>IF($S$12&lt;&gt;1,"N/A",Worksheet!FW25)</f>
        <v>N/A</v>
      </c>
      <c r="S35" s="344"/>
      <c r="T35" s="9"/>
    </row>
    <row r="36" spans="1:27" ht="15" customHeight="1">
      <c r="A36" s="7"/>
      <c r="B36" s="408" t="s">
        <v>376</v>
      </c>
      <c r="C36" s="409"/>
      <c r="D36" s="409"/>
      <c r="E36" s="409"/>
      <c r="F36" s="409"/>
      <c r="G36" s="409"/>
      <c r="H36" s="409"/>
      <c r="I36" s="410"/>
      <c r="J36" s="149" t="str">
        <f>IF($S$12&lt;&gt;1,"N/A",Worksheet!FY18)</f>
        <v>N/A</v>
      </c>
      <c r="K36" s="148" t="str">
        <f>IF($S$12&lt;&gt;1,"N/A",Worksheet!FY19)</f>
        <v>N/A</v>
      </c>
      <c r="L36" s="148" t="str">
        <f>IF($S$12&lt;&gt;1,"N/A",Worksheet!FY20)</f>
        <v>N/A</v>
      </c>
      <c r="M36" s="148" t="str">
        <f>IF($S$12&lt;&gt;1,"N/A",Worksheet!FY21)</f>
        <v>N/A</v>
      </c>
      <c r="N36" s="148" t="str">
        <f>IF($S$12&lt;&gt;1,"N/A",Worksheet!FY22)</f>
        <v>N/A</v>
      </c>
      <c r="O36" s="148" t="str">
        <f>IF($S$12&lt;&gt;1,"N/A",Worksheet!FY23)</f>
        <v>N/A</v>
      </c>
      <c r="P36" s="289" t="str">
        <f>IF($S$12&lt;&gt;1,"N/A",Worksheet!FY24)</f>
        <v>N/A</v>
      </c>
      <c r="Q36" s="312"/>
      <c r="R36" s="289" t="str">
        <f>IF($S$12&lt;&gt;1,"N/A",Worksheet!FY25)</f>
        <v>N/A</v>
      </c>
      <c r="S36" s="312"/>
      <c r="T36" s="9"/>
    </row>
    <row r="37" spans="1:27" ht="13.5" customHeight="1">
      <c r="A37" s="7"/>
      <c r="B37" s="86" t="s">
        <v>361</v>
      </c>
      <c r="C37" s="8"/>
      <c r="D37" s="8"/>
      <c r="E37" s="8"/>
      <c r="F37" s="8"/>
      <c r="G37" s="8"/>
      <c r="H37" s="8"/>
      <c r="I37" s="8"/>
      <c r="J37" s="8"/>
      <c r="K37" s="8"/>
      <c r="L37" s="8"/>
      <c r="M37" s="8"/>
      <c r="N37" s="8"/>
      <c r="O37" s="29"/>
      <c r="P37" s="8"/>
      <c r="Q37" s="8"/>
      <c r="R37" s="8"/>
      <c r="S37" s="8"/>
      <c r="T37" s="9"/>
    </row>
    <row r="38" spans="1:27" s="166" customFormat="1" ht="13.5" customHeight="1">
      <c r="A38" s="7"/>
      <c r="B38" s="86" t="s">
        <v>379</v>
      </c>
      <c r="C38" s="8"/>
      <c r="D38" s="8"/>
      <c r="E38" s="8"/>
      <c r="F38" s="8"/>
      <c r="G38" s="8"/>
      <c r="H38" s="8"/>
      <c r="I38" s="8"/>
      <c r="J38" s="8"/>
      <c r="K38" s="8"/>
      <c r="L38" s="8"/>
      <c r="M38" s="8"/>
      <c r="N38" s="8"/>
      <c r="O38" s="29"/>
      <c r="P38" s="8"/>
      <c r="Q38" s="8"/>
      <c r="R38" s="8"/>
      <c r="S38" s="8"/>
      <c r="T38" s="9"/>
    </row>
    <row r="39" spans="1:27" ht="15" customHeight="1">
      <c r="A39" s="7"/>
      <c r="B39" s="8"/>
      <c r="C39" s="8"/>
      <c r="D39" s="8"/>
      <c r="E39" s="8"/>
      <c r="F39" s="8"/>
      <c r="G39" s="8"/>
      <c r="H39" s="8"/>
      <c r="I39" s="8"/>
      <c r="J39" s="8"/>
      <c r="K39" s="8"/>
      <c r="L39" s="8"/>
      <c r="M39" s="8"/>
      <c r="N39" s="8"/>
      <c r="O39" s="29"/>
      <c r="P39" s="8"/>
      <c r="Q39" s="8"/>
      <c r="R39" s="8"/>
      <c r="S39" s="8"/>
      <c r="T39" s="9"/>
    </row>
    <row r="40" spans="1:27" ht="15" customHeight="1">
      <c r="A40" s="7"/>
      <c r="B40" s="8"/>
      <c r="C40" s="8"/>
      <c r="D40" s="8"/>
      <c r="E40" s="8"/>
      <c r="F40" s="8"/>
      <c r="G40" s="8"/>
      <c r="H40" s="8"/>
      <c r="I40" s="8"/>
      <c r="J40" s="8"/>
      <c r="K40" s="8"/>
      <c r="L40" s="8"/>
      <c r="M40" s="8"/>
      <c r="N40" s="8"/>
      <c r="O40" s="29"/>
      <c r="P40" s="8"/>
      <c r="Q40" s="8"/>
      <c r="R40" s="8"/>
      <c r="S40" s="8"/>
      <c r="T40" s="9"/>
      <c r="V40" s="227"/>
      <c r="W40" s="227" t="s">
        <v>171</v>
      </c>
      <c r="X40" s="227" t="s">
        <v>156</v>
      </c>
      <c r="Y40" s="227"/>
      <c r="Z40" s="227" t="s">
        <v>410</v>
      </c>
      <c r="AA40" s="227"/>
    </row>
    <row r="41" spans="1:27" ht="15" customHeight="1">
      <c r="A41" s="7"/>
      <c r="B41" s="8"/>
      <c r="C41" s="8"/>
      <c r="D41" s="8"/>
      <c r="E41" s="8"/>
      <c r="F41" s="8"/>
      <c r="G41" s="8"/>
      <c r="H41" s="8"/>
      <c r="I41" s="8"/>
      <c r="J41" s="8"/>
      <c r="K41" s="8"/>
      <c r="L41" s="8"/>
      <c r="M41" s="8"/>
      <c r="N41" s="8"/>
      <c r="O41" s="29"/>
      <c r="P41" s="8"/>
      <c r="Q41" s="8"/>
      <c r="R41" s="8"/>
      <c r="S41" s="8"/>
      <c r="T41" s="9"/>
      <c r="V41" s="227"/>
      <c r="W41" s="227" t="s">
        <v>400</v>
      </c>
      <c r="X41" s="227" t="s">
        <v>401</v>
      </c>
      <c r="Y41" s="227" t="s">
        <v>402</v>
      </c>
      <c r="Z41" s="227" t="s">
        <v>214</v>
      </c>
      <c r="AA41" s="227" t="s">
        <v>402</v>
      </c>
    </row>
    <row r="42" spans="1:27" ht="15" customHeight="1">
      <c r="A42" s="7"/>
      <c r="B42" s="8"/>
      <c r="C42" s="8"/>
      <c r="D42" s="8"/>
      <c r="E42" s="8"/>
      <c r="F42" s="8"/>
      <c r="G42" s="8"/>
      <c r="H42" s="8"/>
      <c r="I42" s="8"/>
      <c r="J42" s="8"/>
      <c r="K42" s="8"/>
      <c r="L42" s="8"/>
      <c r="M42" s="8"/>
      <c r="N42" s="8"/>
      <c r="O42" s="29"/>
      <c r="P42" s="8"/>
      <c r="Q42" s="8"/>
      <c r="R42" s="8"/>
      <c r="S42" s="8"/>
      <c r="T42" s="9"/>
      <c r="V42" s="227" t="s">
        <v>397</v>
      </c>
      <c r="W42" s="227" t="s">
        <v>165</v>
      </c>
      <c r="X42" s="227" t="s">
        <v>171</v>
      </c>
      <c r="Y42" s="227" t="s">
        <v>403</v>
      </c>
      <c r="Z42" s="231" t="s">
        <v>171</v>
      </c>
      <c r="AA42" s="227" t="s">
        <v>403</v>
      </c>
    </row>
    <row r="43" spans="1:27" ht="15" customHeight="1">
      <c r="A43" s="7"/>
      <c r="B43" s="8"/>
      <c r="C43" s="8"/>
      <c r="D43" s="8"/>
      <c r="E43" s="8"/>
      <c r="F43" s="8"/>
      <c r="G43" s="8"/>
      <c r="H43" s="8"/>
      <c r="I43" s="8"/>
      <c r="J43" s="8"/>
      <c r="K43" s="8"/>
      <c r="L43" s="8"/>
      <c r="M43" s="8"/>
      <c r="N43" s="8"/>
      <c r="O43" s="29"/>
      <c r="P43" s="8"/>
      <c r="Q43" s="8"/>
      <c r="R43" s="8"/>
      <c r="S43" s="8"/>
      <c r="T43" s="9"/>
      <c r="V43" s="113" t="str">
        <f>Worksheet!FU18</f>
        <v>N/A</v>
      </c>
      <c r="W43" s="239" t="str">
        <f>Worksheet!FX18</f>
        <v>N/A</v>
      </c>
      <c r="X43" s="227" t="str">
        <f>Worksheet!FV18</f>
        <v>N/A</v>
      </c>
      <c r="Y43" s="240" t="str">
        <f>IF($S$12=0,"N/A",IF(V43="N/A",0,IF(X43&gt;$Y$53,$W$53,$W$52*X43/800)))</f>
        <v>N/A</v>
      </c>
      <c r="Z43" s="227" t="str">
        <f>Worksheet!FW18</f>
        <v>N/A</v>
      </c>
      <c r="AA43" s="240" t="str">
        <f>IF($S$12=0,"N/A",IF(V43="N/A",0,$W$54*(Z43/350)))</f>
        <v>N/A</v>
      </c>
    </row>
    <row r="44" spans="1:27" ht="15" customHeight="1">
      <c r="A44" s="7"/>
      <c r="B44" s="8"/>
      <c r="C44" s="8"/>
      <c r="D44" s="8"/>
      <c r="E44" s="8"/>
      <c r="F44" s="8"/>
      <c r="G44" s="8"/>
      <c r="H44" s="8"/>
      <c r="I44" s="8"/>
      <c r="J44" s="8"/>
      <c r="K44" s="8"/>
      <c r="L44" s="8"/>
      <c r="M44" s="8"/>
      <c r="N44" s="8"/>
      <c r="O44" s="29"/>
      <c r="P44" s="8"/>
      <c r="Q44" s="8"/>
      <c r="R44" s="8"/>
      <c r="S44" s="8"/>
      <c r="T44" s="9"/>
      <c r="V44" s="113" t="str">
        <f>Worksheet!FU19</f>
        <v>N/A</v>
      </c>
      <c r="W44" s="239" t="str">
        <f>Worksheet!FX19</f>
        <v>N/A</v>
      </c>
      <c r="X44" s="227" t="str">
        <f>Worksheet!FV19</f>
        <v>N/A</v>
      </c>
      <c r="Y44" s="240" t="str">
        <f t="shared" ref="Y44:Y50" si="0">IF($S$12=0,"N/A",IF(V44="N/A",0,IF(X44&gt;$Y$53,$W$53,$W$52*X44/800)))</f>
        <v>N/A</v>
      </c>
      <c r="Z44" s="227" t="str">
        <f>Worksheet!FW19</f>
        <v>N/A</v>
      </c>
      <c r="AA44" s="240" t="str">
        <f t="shared" ref="AA44:AA50" si="1">IF($S$12=0,"N/A",IF(V44="N/A",0,$W$54*(Z44/350)))</f>
        <v>N/A</v>
      </c>
    </row>
    <row r="45" spans="1:27" ht="15" customHeight="1">
      <c r="A45" s="7"/>
      <c r="B45" s="8"/>
      <c r="C45" s="8"/>
      <c r="D45" s="8"/>
      <c r="E45" s="8"/>
      <c r="F45" s="8"/>
      <c r="G45" s="8"/>
      <c r="H45" s="8"/>
      <c r="I45" s="8"/>
      <c r="J45" s="8"/>
      <c r="K45" s="8"/>
      <c r="L45" s="8"/>
      <c r="M45" s="8"/>
      <c r="N45" s="8"/>
      <c r="O45" s="29"/>
      <c r="P45" s="8"/>
      <c r="Q45" s="8"/>
      <c r="R45" s="8"/>
      <c r="S45" s="8"/>
      <c r="T45" s="9"/>
      <c r="V45" s="113" t="str">
        <f>Worksheet!FU20</f>
        <v>N/A</v>
      </c>
      <c r="W45" s="239" t="str">
        <f>Worksheet!FX20</f>
        <v>N/A</v>
      </c>
      <c r="X45" s="227" t="str">
        <f>Worksheet!FV20</f>
        <v>N/A</v>
      </c>
      <c r="Y45" s="240" t="str">
        <f t="shared" si="0"/>
        <v>N/A</v>
      </c>
      <c r="Z45" s="227" t="str">
        <f>Worksheet!FW20</f>
        <v>N/A</v>
      </c>
      <c r="AA45" s="240" t="str">
        <f t="shared" si="1"/>
        <v>N/A</v>
      </c>
    </row>
    <row r="46" spans="1:27" ht="15" customHeight="1">
      <c r="A46" s="7"/>
      <c r="B46" s="8"/>
      <c r="C46" s="8"/>
      <c r="D46" s="8"/>
      <c r="E46" s="8"/>
      <c r="F46" s="8"/>
      <c r="G46" s="8"/>
      <c r="H46" s="8"/>
      <c r="I46" s="8"/>
      <c r="J46" s="8"/>
      <c r="K46" s="8"/>
      <c r="L46" s="8"/>
      <c r="M46" s="8"/>
      <c r="N46" s="8"/>
      <c r="O46" s="29"/>
      <c r="P46" s="8"/>
      <c r="Q46" s="8"/>
      <c r="R46" s="8"/>
      <c r="S46" s="8"/>
      <c r="T46" s="9"/>
      <c r="V46" s="113" t="str">
        <f>Worksheet!FU21</f>
        <v>N/A</v>
      </c>
      <c r="W46" s="239" t="str">
        <f>Worksheet!FX21</f>
        <v>N/A</v>
      </c>
      <c r="X46" s="227" t="str">
        <f>Worksheet!FV21</f>
        <v>N/A</v>
      </c>
      <c r="Y46" s="240" t="str">
        <f t="shared" si="0"/>
        <v>N/A</v>
      </c>
      <c r="Z46" s="227" t="str">
        <f>Worksheet!FW21</f>
        <v>N/A</v>
      </c>
      <c r="AA46" s="240" t="str">
        <f t="shared" si="1"/>
        <v>N/A</v>
      </c>
    </row>
    <row r="47" spans="1:27" ht="15" customHeight="1">
      <c r="A47" s="7"/>
      <c r="B47" s="8"/>
      <c r="C47" s="8"/>
      <c r="D47" s="8"/>
      <c r="E47" s="8"/>
      <c r="F47" s="8"/>
      <c r="G47" s="8"/>
      <c r="H47" s="8"/>
      <c r="I47" s="8"/>
      <c r="J47" s="8"/>
      <c r="K47" s="8"/>
      <c r="L47" s="8"/>
      <c r="M47" s="8"/>
      <c r="N47" s="8"/>
      <c r="O47" s="29"/>
      <c r="P47" s="8"/>
      <c r="Q47" s="8"/>
      <c r="R47" s="8"/>
      <c r="S47" s="8"/>
      <c r="T47" s="9"/>
      <c r="V47" s="113" t="str">
        <f>Worksheet!FU22</f>
        <v>N/A</v>
      </c>
      <c r="W47" s="239" t="str">
        <f>Worksheet!FX22</f>
        <v>N/A</v>
      </c>
      <c r="X47" s="227" t="str">
        <f>Worksheet!FV22</f>
        <v>N/A</v>
      </c>
      <c r="Y47" s="240" t="str">
        <f t="shared" si="0"/>
        <v>N/A</v>
      </c>
      <c r="Z47" s="227" t="str">
        <f>Worksheet!FW22</f>
        <v>N/A</v>
      </c>
      <c r="AA47" s="240" t="str">
        <f t="shared" si="1"/>
        <v>N/A</v>
      </c>
    </row>
    <row r="48" spans="1:27" ht="15" customHeight="1">
      <c r="A48" s="7"/>
      <c r="B48" s="8"/>
      <c r="C48" s="8"/>
      <c r="D48" s="8"/>
      <c r="E48" s="8"/>
      <c r="F48" s="8"/>
      <c r="G48" s="8"/>
      <c r="H48" s="8"/>
      <c r="I48" s="8"/>
      <c r="J48" s="8"/>
      <c r="K48" s="8"/>
      <c r="L48" s="8"/>
      <c r="M48" s="8"/>
      <c r="N48" s="8"/>
      <c r="O48" s="29"/>
      <c r="P48" s="8"/>
      <c r="Q48" s="8"/>
      <c r="R48" s="8"/>
      <c r="S48" s="8"/>
      <c r="T48" s="9"/>
      <c r="V48" s="113" t="str">
        <f>Worksheet!FU23</f>
        <v>N/A</v>
      </c>
      <c r="W48" s="239" t="str">
        <f>Worksheet!FX23</f>
        <v>N/A</v>
      </c>
      <c r="X48" s="227" t="str">
        <f>Worksheet!FV23</f>
        <v>N/A</v>
      </c>
      <c r="Y48" s="240" t="str">
        <f t="shared" si="0"/>
        <v>N/A</v>
      </c>
      <c r="Z48" s="227" t="str">
        <f>Worksheet!FW23</f>
        <v>N/A</v>
      </c>
      <c r="AA48" s="240" t="str">
        <f t="shared" si="1"/>
        <v>N/A</v>
      </c>
    </row>
    <row r="49" spans="1:27" ht="15" customHeight="1">
      <c r="A49" s="7"/>
      <c r="B49" s="8"/>
      <c r="C49" s="8"/>
      <c r="D49" s="8"/>
      <c r="E49" s="8"/>
      <c r="F49" s="8"/>
      <c r="G49" s="8"/>
      <c r="H49" s="8"/>
      <c r="I49" s="8"/>
      <c r="J49" s="8"/>
      <c r="K49" s="8"/>
      <c r="L49" s="8"/>
      <c r="M49" s="8"/>
      <c r="N49" s="8"/>
      <c r="O49" s="29"/>
      <c r="P49" s="8"/>
      <c r="Q49" s="8"/>
      <c r="R49" s="8"/>
      <c r="S49" s="8"/>
      <c r="T49" s="9"/>
      <c r="V49" s="113" t="str">
        <f>Worksheet!FU24</f>
        <v>N/A</v>
      </c>
      <c r="W49" s="239" t="str">
        <f>Worksheet!FX24</f>
        <v>N/A</v>
      </c>
      <c r="X49" s="227" t="str">
        <f>Worksheet!FV24</f>
        <v>N/A</v>
      </c>
      <c r="Y49" s="240" t="str">
        <f t="shared" si="0"/>
        <v>N/A</v>
      </c>
      <c r="Z49" s="227" t="str">
        <f>Worksheet!FW24</f>
        <v>N/A</v>
      </c>
      <c r="AA49" s="240" t="str">
        <f t="shared" si="1"/>
        <v>N/A</v>
      </c>
    </row>
    <row r="50" spans="1:27">
      <c r="A50" s="51"/>
      <c r="B50" s="29"/>
      <c r="C50" s="29"/>
      <c r="D50" s="29"/>
      <c r="E50" s="120"/>
      <c r="F50" s="120"/>
      <c r="G50" s="120"/>
      <c r="H50" s="120"/>
      <c r="I50" s="111"/>
      <c r="J50" s="8"/>
      <c r="K50" s="29"/>
      <c r="L50" s="29"/>
      <c r="M50" s="29"/>
      <c r="N50" s="29"/>
      <c r="O50" s="29"/>
      <c r="P50" s="29"/>
      <c r="Q50" s="29"/>
      <c r="R50" s="29"/>
      <c r="S50" s="29"/>
      <c r="T50" s="52"/>
      <c r="V50" s="113" t="str">
        <f>Worksheet!FU25</f>
        <v>N/A</v>
      </c>
      <c r="W50" s="239" t="str">
        <f>Worksheet!FX25</f>
        <v>N/A</v>
      </c>
      <c r="X50" s="227" t="str">
        <f>Worksheet!FV25</f>
        <v>N/A</v>
      </c>
      <c r="Y50" s="240" t="str">
        <f t="shared" si="0"/>
        <v>N/A</v>
      </c>
      <c r="Z50" s="227" t="str">
        <f>Worksheet!FW25</f>
        <v>N/A</v>
      </c>
      <c r="AA50" s="240" t="str">
        <f t="shared" si="1"/>
        <v>N/A</v>
      </c>
    </row>
    <row r="51" spans="1:27">
      <c r="A51" s="7"/>
      <c r="B51" s="88"/>
      <c r="C51" s="8"/>
      <c r="D51" s="8"/>
      <c r="E51" s="8"/>
      <c r="F51" s="8"/>
      <c r="G51" s="8"/>
      <c r="H51" s="8"/>
      <c r="I51" s="8"/>
      <c r="J51" s="8"/>
      <c r="K51" s="8"/>
      <c r="L51" s="8"/>
      <c r="M51" s="8"/>
      <c r="N51" s="8"/>
      <c r="O51" s="29"/>
      <c r="P51" s="8"/>
      <c r="Q51" s="8"/>
      <c r="R51" s="8"/>
      <c r="S51" s="8"/>
      <c r="T51" s="9"/>
      <c r="V51" s="228"/>
      <c r="W51" s="228"/>
      <c r="X51" s="228"/>
      <c r="Y51" s="228"/>
      <c r="Z51" s="228"/>
      <c r="AA51" s="228"/>
    </row>
    <row r="52" spans="1:27">
      <c r="A52" s="7"/>
      <c r="B52" s="86"/>
      <c r="C52" s="8"/>
      <c r="D52" s="8"/>
      <c r="E52" s="8"/>
      <c r="F52" s="8"/>
      <c r="G52" s="8"/>
      <c r="H52" s="8"/>
      <c r="I52" s="8"/>
      <c r="J52" s="8"/>
      <c r="K52" s="8"/>
      <c r="L52" s="8"/>
      <c r="M52" s="8"/>
      <c r="N52" s="8"/>
      <c r="O52" s="29"/>
      <c r="P52" s="8"/>
      <c r="Q52" s="8"/>
      <c r="R52" s="8"/>
      <c r="S52" s="8"/>
      <c r="T52" s="9"/>
      <c r="V52" s="228"/>
      <c r="W52" s="228">
        <v>5.29</v>
      </c>
      <c r="X52" s="228" t="s">
        <v>405</v>
      </c>
      <c r="Y52" s="228"/>
      <c r="Z52" s="228"/>
      <c r="AA52" s="228"/>
    </row>
    <row r="53" spans="1:27">
      <c r="A53" s="7"/>
      <c r="B53" s="88"/>
      <c r="C53" s="8"/>
      <c r="D53" s="8"/>
      <c r="E53" s="8"/>
      <c r="F53" s="8"/>
      <c r="G53" s="8"/>
      <c r="H53" s="8"/>
      <c r="I53" s="8"/>
      <c r="J53" s="8"/>
      <c r="K53" s="8"/>
      <c r="L53" s="8"/>
      <c r="M53" s="8"/>
      <c r="N53" s="8"/>
      <c r="O53" s="29"/>
      <c r="P53" s="8"/>
      <c r="Q53" s="8"/>
      <c r="R53" s="8"/>
      <c r="S53" s="8"/>
      <c r="T53" s="9"/>
      <c r="V53" s="232"/>
      <c r="W53" s="228">
        <v>5.6</v>
      </c>
      <c r="X53" s="228" t="s">
        <v>404</v>
      </c>
      <c r="Y53" s="230">
        <f>800*W53/W52</f>
        <v>846.88090737240077</v>
      </c>
      <c r="Z53" s="228"/>
      <c r="AA53" s="228"/>
    </row>
    <row r="54" spans="1:27">
      <c r="A54" s="7"/>
      <c r="B54" s="86"/>
      <c r="C54" s="8"/>
      <c r="D54" s="8"/>
      <c r="E54" s="8"/>
      <c r="F54" s="8"/>
      <c r="G54" s="8"/>
      <c r="H54" s="8"/>
      <c r="I54" s="8"/>
      <c r="J54" s="8"/>
      <c r="K54" s="8"/>
      <c r="L54" s="8"/>
      <c r="M54" s="8"/>
      <c r="N54" s="8"/>
      <c r="O54" s="29"/>
      <c r="P54" s="8"/>
      <c r="Q54" s="8"/>
      <c r="R54" s="8"/>
      <c r="S54" s="8"/>
      <c r="T54" s="9"/>
      <c r="V54" s="228"/>
      <c r="W54" s="228">
        <v>2.42</v>
      </c>
      <c r="X54" s="228" t="s">
        <v>406</v>
      </c>
      <c r="Y54" s="228"/>
      <c r="Z54" s="228"/>
      <c r="AA54" s="228"/>
    </row>
    <row r="55" spans="1:27">
      <c r="A55" s="7"/>
      <c r="B55" s="86"/>
      <c r="C55" s="8"/>
      <c r="D55" s="8"/>
      <c r="E55" s="8"/>
      <c r="F55" s="8"/>
      <c r="G55" s="8"/>
      <c r="H55" s="8"/>
      <c r="I55" s="8"/>
      <c r="J55" s="8"/>
      <c r="K55" s="8"/>
      <c r="L55" s="8"/>
      <c r="M55" s="8"/>
      <c r="N55" s="8"/>
      <c r="O55" s="29"/>
      <c r="P55" s="8"/>
      <c r="Q55" s="8"/>
      <c r="R55" s="8"/>
      <c r="S55" s="8"/>
      <c r="T55" s="9"/>
    </row>
    <row r="56" spans="1:27">
      <c r="A56" s="7"/>
      <c r="B56" s="86"/>
      <c r="C56" s="8"/>
      <c r="D56" s="8"/>
      <c r="E56" s="8"/>
      <c r="F56" s="8"/>
      <c r="G56" s="8"/>
      <c r="H56" s="8"/>
      <c r="I56" s="8"/>
      <c r="J56" s="8"/>
      <c r="K56" s="8"/>
      <c r="L56" s="8"/>
      <c r="M56" s="8"/>
      <c r="N56" s="8"/>
      <c r="O56" s="29"/>
      <c r="P56" s="8"/>
      <c r="Q56" s="8"/>
      <c r="R56" s="8"/>
      <c r="S56" s="8"/>
      <c r="T56" s="9"/>
    </row>
    <row r="57" spans="1:27">
      <c r="A57" s="7"/>
      <c r="B57" s="8"/>
      <c r="C57" s="8"/>
      <c r="D57" s="8"/>
      <c r="E57" s="8"/>
      <c r="F57" s="8"/>
      <c r="G57" s="8"/>
      <c r="H57" s="8"/>
      <c r="I57" s="8"/>
      <c r="J57" s="8"/>
      <c r="K57" s="8"/>
      <c r="L57" s="8"/>
      <c r="M57" s="8"/>
      <c r="N57" s="8"/>
      <c r="O57" s="29"/>
      <c r="P57" s="8"/>
      <c r="Q57" s="8"/>
      <c r="R57" s="8"/>
      <c r="S57" s="8"/>
      <c r="T57" s="9"/>
    </row>
    <row r="58" spans="1:27" ht="15.75">
      <c r="A58" s="7"/>
      <c r="B58" s="24"/>
      <c r="C58" s="8"/>
      <c r="D58" s="8"/>
      <c r="E58" s="8"/>
      <c r="F58" s="8"/>
      <c r="G58" s="8"/>
      <c r="H58" s="8"/>
      <c r="I58" s="8"/>
      <c r="J58" s="8"/>
      <c r="K58" s="8"/>
      <c r="L58" s="8"/>
      <c r="M58" s="8"/>
      <c r="N58" s="8"/>
      <c r="O58" s="29"/>
      <c r="P58" s="8"/>
      <c r="Q58" s="8"/>
      <c r="R58" s="8"/>
      <c r="S58" s="8"/>
      <c r="T58" s="9"/>
    </row>
    <row r="59" spans="1:27" ht="13.5" thickBot="1">
      <c r="A59" s="27"/>
      <c r="B59" s="10"/>
      <c r="C59" s="10"/>
      <c r="D59" s="10"/>
      <c r="E59" s="10"/>
      <c r="F59" s="10"/>
      <c r="G59" s="10"/>
      <c r="H59" s="10"/>
      <c r="I59" s="10"/>
      <c r="J59" s="10"/>
      <c r="K59" s="10"/>
      <c r="L59" s="10"/>
      <c r="M59" s="10"/>
      <c r="N59" s="10"/>
      <c r="O59" s="70"/>
      <c r="P59" s="10"/>
      <c r="Q59" s="10"/>
      <c r="R59" s="10"/>
      <c r="S59" s="10"/>
      <c r="T59" s="11"/>
    </row>
  </sheetData>
  <sheetProtection password="E0BD" sheet="1" objects="1" scenarios="1"/>
  <protectedRanges>
    <protectedRange sqref="R25" name="Range1"/>
  </protectedRanges>
  <mergeCells count="25">
    <mergeCell ref="P34:Q34"/>
    <mergeCell ref="R34:S34"/>
    <mergeCell ref="K12:M12"/>
    <mergeCell ref="L7:M7"/>
    <mergeCell ref="L9:M9"/>
    <mergeCell ref="P35:Q35"/>
    <mergeCell ref="R35:S35"/>
    <mergeCell ref="B36:I36"/>
    <mergeCell ref="P36:Q36"/>
    <mergeCell ref="R36:S36"/>
    <mergeCell ref="B3:S3"/>
    <mergeCell ref="B5:S5"/>
    <mergeCell ref="B4:S4"/>
    <mergeCell ref="B33:C33"/>
    <mergeCell ref="P33:Q33"/>
    <mergeCell ref="R33:S33"/>
    <mergeCell ref="H12:J12"/>
    <mergeCell ref="B12:C12"/>
    <mergeCell ref="Q7:S7"/>
    <mergeCell ref="F9:G9"/>
    <mergeCell ref="Q9:S9"/>
    <mergeCell ref="B9:D9"/>
    <mergeCell ref="D12:G12"/>
    <mergeCell ref="F10:G10"/>
    <mergeCell ref="B10:D10"/>
  </mergeCells>
  <conditionalFormatting sqref="J36:S36">
    <cfRule type="cellIs" dxfId="15" priority="15" stopIfTrue="1" operator="equal">
      <formula>"Close"</formula>
    </cfRule>
    <cfRule type="cellIs" dxfId="14" priority="16" stopIfTrue="1" operator="equal">
      <formula>"Yes"</formula>
    </cfRule>
    <cfRule type="cellIs" dxfId="13" priority="17" stopIfTrue="1" operator="equal">
      <formula>"No"</formula>
    </cfRule>
  </conditionalFormatting>
  <conditionalFormatting sqref="S12">
    <cfRule type="cellIs" dxfId="12" priority="5" operator="notEqual">
      <formula>1</formula>
    </cfRule>
  </conditionalFormatting>
  <conditionalFormatting sqref="W43:W50">
    <cfRule type="cellIs" dxfId="11" priority="2" stopIfTrue="1" operator="greaterThanOrEqual">
      <formula>3</formula>
    </cfRule>
    <cfRule type="cellIs" dxfId="10" priority="3" stopIfTrue="1" operator="lessThanOrEqual">
      <formula>-3</formula>
    </cfRule>
    <cfRule type="cellIs" dxfId="9" priority="4" stopIfTrue="1" operator="between">
      <formula>-3</formula>
      <formula>3</formula>
    </cfRule>
    <cfRule type="cellIs" dxfId="8" priority="1" operator="equal">
      <formula>"N/A"</formula>
    </cfRule>
  </conditionalFormatting>
  <printOptions horizontalCentered="1" verticalCentered="1"/>
  <pageMargins left="0.3" right="0.3" top="0.3" bottom="0.3" header="0" footer="0"/>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dimension ref="A1:AA58"/>
  <sheetViews>
    <sheetView zoomScaleNormal="100" workbookViewId="0"/>
  </sheetViews>
  <sheetFormatPr defaultRowHeight="12.75"/>
  <cols>
    <col min="1" max="1" width="1.7109375" style="197" customWidth="1"/>
    <col min="2" max="2" width="6.7109375" style="197" customWidth="1"/>
    <col min="3" max="3" width="5.85546875" style="197" customWidth="1"/>
    <col min="4" max="4" width="3.7109375" style="197" customWidth="1"/>
    <col min="5" max="5" width="6.42578125" style="197" customWidth="1"/>
    <col min="6" max="6" width="3.42578125" style="197" customWidth="1"/>
    <col min="7" max="7" width="7.140625" style="197" customWidth="1"/>
    <col min="8" max="8" width="4" style="197" customWidth="1"/>
    <col min="9" max="9" width="3.7109375" style="197" customWidth="1"/>
    <col min="10" max="14" width="6.5703125" style="197" customWidth="1"/>
    <col min="15" max="15" width="6.5703125" style="31" customWidth="1"/>
    <col min="16" max="16" width="3.7109375" style="197" customWidth="1"/>
    <col min="17" max="18" width="2.85546875" style="197" customWidth="1"/>
    <col min="19" max="19" width="3.7109375" style="197" customWidth="1"/>
    <col min="20" max="20" width="1.7109375" style="197" customWidth="1"/>
    <col min="21" max="21" width="9.140625" style="197"/>
    <col min="22" max="22" width="6.42578125" style="197" bestFit="1" customWidth="1"/>
    <col min="23" max="23" width="11.5703125" style="197" bestFit="1" customWidth="1"/>
    <col min="24" max="24" width="7.85546875" style="197" customWidth="1"/>
    <col min="25" max="25" width="7.140625" style="197" bestFit="1" customWidth="1"/>
    <col min="26" max="26" width="8.85546875" style="197" bestFit="1" customWidth="1"/>
    <col min="27" max="27" width="7.140625" style="197" bestFit="1" customWidth="1"/>
    <col min="28" max="16384" width="9.140625" style="197"/>
  </cols>
  <sheetData>
    <row r="1" spans="1:20">
      <c r="A1" s="221"/>
      <c r="B1" s="233" t="s">
        <v>446</v>
      </c>
      <c r="C1" s="13"/>
      <c r="D1" s="13"/>
      <c r="E1" s="13"/>
      <c r="F1" s="13"/>
      <c r="G1" s="13"/>
      <c r="H1" s="13"/>
      <c r="I1" s="13"/>
      <c r="J1" s="13"/>
      <c r="K1" s="13"/>
      <c r="L1" s="13"/>
      <c r="M1" s="13"/>
      <c r="N1" s="13"/>
      <c r="O1" s="69"/>
      <c r="P1" s="13"/>
      <c r="Q1" s="13"/>
      <c r="R1" s="13"/>
      <c r="S1" s="234" t="s">
        <v>367</v>
      </c>
      <c r="T1" s="14"/>
    </row>
    <row r="2" spans="1:20" ht="15.75">
      <c r="A2" s="7"/>
      <c r="B2" s="299" t="s">
        <v>46</v>
      </c>
      <c r="C2" s="299"/>
      <c r="D2" s="299"/>
      <c r="E2" s="299"/>
      <c r="F2" s="299"/>
      <c r="G2" s="299"/>
      <c r="H2" s="299"/>
      <c r="I2" s="299"/>
      <c r="J2" s="299"/>
      <c r="K2" s="299"/>
      <c r="L2" s="299"/>
      <c r="M2" s="299"/>
      <c r="N2" s="299"/>
      <c r="O2" s="299"/>
      <c r="P2" s="299"/>
      <c r="Q2" s="299"/>
      <c r="R2" s="299"/>
      <c r="S2" s="299"/>
      <c r="T2" s="52"/>
    </row>
    <row r="3" spans="1:20" ht="15.75">
      <c r="A3" s="7"/>
      <c r="B3" s="299" t="s">
        <v>47</v>
      </c>
      <c r="C3" s="299"/>
      <c r="D3" s="299"/>
      <c r="E3" s="299"/>
      <c r="F3" s="299"/>
      <c r="G3" s="299"/>
      <c r="H3" s="299"/>
      <c r="I3" s="299"/>
      <c r="J3" s="299"/>
      <c r="K3" s="299"/>
      <c r="L3" s="299"/>
      <c r="M3" s="299"/>
      <c r="N3" s="299"/>
      <c r="O3" s="299"/>
      <c r="P3" s="299"/>
      <c r="Q3" s="299"/>
      <c r="R3" s="299"/>
      <c r="S3" s="299"/>
      <c r="T3" s="52"/>
    </row>
    <row r="4" spans="1:20" ht="15.75">
      <c r="A4" s="7"/>
      <c r="B4" s="299" t="s">
        <v>363</v>
      </c>
      <c r="C4" s="299"/>
      <c r="D4" s="299"/>
      <c r="E4" s="299"/>
      <c r="F4" s="299"/>
      <c r="G4" s="299"/>
      <c r="H4" s="299"/>
      <c r="I4" s="299"/>
      <c r="J4" s="299"/>
      <c r="K4" s="299"/>
      <c r="L4" s="299"/>
      <c r="M4" s="299"/>
      <c r="N4" s="299"/>
      <c r="O4" s="299"/>
      <c r="P4" s="299"/>
      <c r="Q4" s="299"/>
      <c r="R4" s="299"/>
      <c r="S4" s="299"/>
      <c r="T4" s="52"/>
    </row>
    <row r="5" spans="1:20" ht="12" customHeight="1">
      <c r="A5" s="7"/>
      <c r="B5" s="8"/>
      <c r="C5" s="8"/>
      <c r="D5" s="8"/>
      <c r="E5" s="8"/>
      <c r="F5" s="8"/>
      <c r="G5" s="29"/>
      <c r="H5" s="8"/>
      <c r="I5" s="8"/>
      <c r="J5" s="8"/>
      <c r="K5" s="8"/>
      <c r="L5" s="8"/>
      <c r="M5" s="8"/>
      <c r="N5" s="8"/>
      <c r="O5" s="29"/>
      <c r="P5" s="8"/>
      <c r="Q5" s="8"/>
      <c r="R5" s="8"/>
      <c r="S5" s="8"/>
      <c r="T5" s="9"/>
    </row>
    <row r="6" spans="1:20" ht="13.5" customHeight="1">
      <c r="A6" s="7"/>
      <c r="B6" s="8"/>
      <c r="C6" s="8"/>
      <c r="D6" s="8"/>
      <c r="E6" s="8"/>
      <c r="F6" s="8"/>
      <c r="G6" s="29"/>
      <c r="H6" s="8"/>
      <c r="I6" s="8"/>
      <c r="J6" s="8"/>
      <c r="K6" s="215" t="s">
        <v>174</v>
      </c>
      <c r="L6" s="296" t="str">
        <f>'Pg 1'!I5</f>
        <v/>
      </c>
      <c r="M6" s="296"/>
      <c r="N6" s="8"/>
      <c r="O6" s="29"/>
      <c r="P6" s="215" t="s">
        <v>173</v>
      </c>
      <c r="Q6" s="322">
        <f ca="1">'Pg 1'!M5</f>
        <v>42073</v>
      </c>
      <c r="R6" s="322"/>
      <c r="S6" s="322"/>
      <c r="T6" s="9"/>
    </row>
    <row r="7" spans="1:20" ht="6" customHeight="1">
      <c r="A7" s="7"/>
      <c r="B7" s="8"/>
      <c r="C7" s="8"/>
      <c r="D7" s="8"/>
      <c r="E7" s="8"/>
      <c r="F7" s="8"/>
      <c r="G7" s="8"/>
      <c r="H7" s="8"/>
      <c r="I7" s="8"/>
      <c r="J7" s="8"/>
      <c r="K7" s="8"/>
      <c r="L7" s="8"/>
      <c r="M7" s="8"/>
      <c r="N7" s="8"/>
      <c r="O7" s="29"/>
      <c r="P7" s="29"/>
      <c r="Q7" s="8"/>
      <c r="R7" s="8"/>
      <c r="S7" s="29"/>
      <c r="T7" s="9"/>
    </row>
    <row r="8" spans="1:20" ht="13.5" customHeight="1">
      <c r="A8" s="7"/>
      <c r="B8" s="320" t="str">
        <f>IF('Input Sheet'!B6=0," ",'Input Sheet'!B6)</f>
        <v xml:space="preserve"> </v>
      </c>
      <c r="C8" s="296"/>
      <c r="D8" s="319"/>
      <c r="E8" s="210" t="str">
        <f>IF('Input Sheet'!E6=0," ",'Input Sheet'!E6)</f>
        <v xml:space="preserve"> </v>
      </c>
      <c r="F8" s="320" t="str">
        <f>IF('Input Sheet'!F6=0," ",'Input Sheet'!F6)</f>
        <v xml:space="preserve"> </v>
      </c>
      <c r="G8" s="319"/>
      <c r="H8" s="8"/>
      <c r="I8" s="8"/>
      <c r="J8" s="8"/>
      <c r="K8" s="215" t="s">
        <v>175</v>
      </c>
      <c r="L8" s="296" t="str">
        <f>'Pg 1'!I7</f>
        <v xml:space="preserve"> </v>
      </c>
      <c r="M8" s="296"/>
      <c r="N8" s="8"/>
      <c r="O8" s="29"/>
      <c r="P8" s="215" t="s">
        <v>172</v>
      </c>
      <c r="Q8" s="322" t="str">
        <f>'Pg 1'!M7</f>
        <v xml:space="preserve"> </v>
      </c>
      <c r="R8" s="322"/>
      <c r="S8" s="322"/>
      <c r="T8" s="9"/>
    </row>
    <row r="9" spans="1:20" ht="12" customHeight="1">
      <c r="A9" s="7"/>
      <c r="B9" s="302" t="s">
        <v>5</v>
      </c>
      <c r="C9" s="302"/>
      <c r="D9" s="302"/>
      <c r="E9" s="205" t="s">
        <v>6</v>
      </c>
      <c r="F9" s="321" t="s">
        <v>7</v>
      </c>
      <c r="G9" s="321"/>
      <c r="H9" s="8"/>
      <c r="I9" s="8"/>
      <c r="J9" s="8"/>
      <c r="K9" s="8"/>
      <c r="L9" s="8"/>
      <c r="M9" s="8"/>
      <c r="N9" s="8"/>
      <c r="O9" s="29"/>
      <c r="P9" s="8"/>
      <c r="Q9" s="8"/>
      <c r="R9" s="8"/>
      <c r="S9" s="8"/>
      <c r="T9" s="9"/>
    </row>
    <row r="10" spans="1:20" ht="6" customHeight="1">
      <c r="A10" s="7"/>
      <c r="B10" s="8"/>
      <c r="C10" s="8"/>
      <c r="D10" s="8"/>
      <c r="E10" s="8"/>
      <c r="F10" s="8"/>
      <c r="G10" s="29"/>
      <c r="H10" s="8"/>
      <c r="I10" s="8"/>
      <c r="J10" s="8"/>
      <c r="K10" s="8"/>
      <c r="L10" s="8"/>
      <c r="M10" s="8"/>
      <c r="N10" s="8"/>
      <c r="O10" s="29"/>
      <c r="P10" s="8"/>
      <c r="Q10" s="8"/>
      <c r="R10" s="8"/>
      <c r="S10" s="8"/>
      <c r="T10" s="9"/>
    </row>
    <row r="11" spans="1:20" ht="13.5" customHeight="1">
      <c r="A11" s="7"/>
      <c r="B11" s="378" t="s">
        <v>381</v>
      </c>
      <c r="C11" s="407"/>
      <c r="D11" s="296" t="str">
        <f>'Pg 1'!C10</f>
        <v xml:space="preserve"> </v>
      </c>
      <c r="E11" s="296"/>
      <c r="F11" s="296"/>
      <c r="G11" s="296"/>
      <c r="H11" s="378" t="s">
        <v>382</v>
      </c>
      <c r="I11" s="378"/>
      <c r="J11" s="378"/>
      <c r="K11" s="296" t="str">
        <f>'Pg 1'!C12</f>
        <v xml:space="preserve"> </v>
      </c>
      <c r="L11" s="296"/>
      <c r="M11" s="296"/>
      <c r="N11" s="8"/>
      <c r="O11" s="29"/>
      <c r="P11" s="8"/>
      <c r="Q11" s="215"/>
      <c r="R11" s="214" t="s">
        <v>383</v>
      </c>
      <c r="S11" s="209">
        <f>IF('Wrnt 9 Input'!C11&lt;1,0,'Wrnt 9 Input'!C11)</f>
        <v>0</v>
      </c>
      <c r="T11" s="9"/>
    </row>
    <row r="12" spans="1:20" ht="13.5" customHeight="1">
      <c r="A12" s="7"/>
      <c r="B12" s="8"/>
      <c r="C12" s="8"/>
      <c r="D12" s="8"/>
      <c r="E12" s="8"/>
      <c r="F12" s="8"/>
      <c r="G12" s="29"/>
      <c r="H12" s="8"/>
      <c r="I12" s="8"/>
      <c r="J12" s="8"/>
      <c r="K12" s="8"/>
      <c r="L12" s="8"/>
      <c r="M12" s="8"/>
      <c r="N12" s="8"/>
      <c r="O12" s="29"/>
      <c r="P12" s="8"/>
      <c r="Q12" s="29"/>
      <c r="R12" s="215" t="s">
        <v>384</v>
      </c>
      <c r="S12" s="8"/>
      <c r="T12" s="9"/>
    </row>
    <row r="13" spans="1:20" ht="13.5" customHeight="1">
      <c r="A13" s="7"/>
      <c r="B13" s="222" t="s">
        <v>373</v>
      </c>
      <c r="C13" s="8"/>
      <c r="D13" s="8"/>
      <c r="E13" s="8"/>
      <c r="F13" s="8"/>
      <c r="G13" s="209">
        <f>'Wrnt 9 Input'!B15</f>
        <v>0</v>
      </c>
      <c r="H13" s="8"/>
      <c r="I13" s="8"/>
      <c r="J13" s="222" t="s">
        <v>377</v>
      </c>
      <c r="K13" s="8"/>
      <c r="L13" s="8"/>
      <c r="M13" s="8"/>
      <c r="N13" s="209">
        <f>'Wrnt 9 Input'!B13</f>
        <v>0</v>
      </c>
      <c r="O13" s="29"/>
      <c r="P13" s="8"/>
      <c r="Q13" s="8"/>
      <c r="R13" s="8"/>
      <c r="S13" s="189"/>
      <c r="T13" s="9"/>
    </row>
    <row r="14" spans="1:20" ht="6" customHeight="1">
      <c r="A14" s="7"/>
      <c r="B14" s="8"/>
      <c r="C14" s="8"/>
      <c r="D14" s="8"/>
      <c r="E14" s="8"/>
      <c r="F14" s="8"/>
      <c r="G14" s="8"/>
      <c r="H14" s="8"/>
      <c r="I14" s="8"/>
      <c r="J14" s="8"/>
      <c r="K14" s="8"/>
      <c r="L14" s="8"/>
      <c r="M14" s="8"/>
      <c r="N14" s="8"/>
      <c r="O14" s="29"/>
      <c r="P14" s="8"/>
      <c r="Q14" s="8"/>
      <c r="R14" s="8"/>
      <c r="S14" s="8"/>
      <c r="T14" s="9"/>
    </row>
    <row r="15" spans="1:20" ht="13.5" customHeight="1">
      <c r="A15" s="7"/>
      <c r="B15" s="222" t="s">
        <v>364</v>
      </c>
      <c r="C15" s="8"/>
      <c r="D15" s="8"/>
      <c r="E15" s="8"/>
      <c r="F15" s="8"/>
      <c r="G15" s="8"/>
      <c r="H15" s="8"/>
      <c r="I15" s="8"/>
      <c r="J15" s="8"/>
      <c r="K15" s="209">
        <f>'Wrnt 9 Input'!B17</f>
        <v>0</v>
      </c>
      <c r="L15" s="8"/>
      <c r="M15" s="8"/>
      <c r="N15" s="8"/>
      <c r="O15" s="29"/>
      <c r="P15" s="8"/>
      <c r="Q15" s="8"/>
      <c r="R15" s="8"/>
      <c r="S15" s="183"/>
      <c r="T15" s="9"/>
    </row>
    <row r="16" spans="1:20" ht="6" customHeight="1">
      <c r="A16" s="7"/>
      <c r="B16" s="8"/>
      <c r="C16" s="8"/>
      <c r="D16" s="8"/>
      <c r="E16" s="8"/>
      <c r="F16" s="8"/>
      <c r="G16" s="8"/>
      <c r="H16" s="8"/>
      <c r="I16" s="8"/>
      <c r="J16" s="8"/>
      <c r="K16" s="8"/>
      <c r="L16" s="8"/>
      <c r="M16" s="8"/>
      <c r="N16" s="8"/>
      <c r="O16" s="29"/>
      <c r="P16" s="8"/>
      <c r="Q16" s="8"/>
      <c r="R16" s="8"/>
      <c r="S16" s="183"/>
      <c r="T16" s="9"/>
    </row>
    <row r="17" spans="1:20" ht="13.5" customHeight="1">
      <c r="A17" s="7"/>
      <c r="B17" s="222" t="s">
        <v>365</v>
      </c>
      <c r="C17" s="8"/>
      <c r="D17" s="8"/>
      <c r="E17" s="8"/>
      <c r="F17" s="8"/>
      <c r="G17" s="8"/>
      <c r="H17" s="8"/>
      <c r="I17" s="8"/>
      <c r="J17" s="8"/>
      <c r="K17" s="209">
        <f>'Wrnt 9 Input'!B19</f>
        <v>0</v>
      </c>
      <c r="L17" s="8"/>
      <c r="M17" s="8"/>
      <c r="N17" s="8"/>
      <c r="O17" s="29"/>
      <c r="P17" s="8"/>
      <c r="Q17" s="8"/>
      <c r="R17" s="8"/>
      <c r="S17" s="183"/>
      <c r="T17" s="9"/>
    </row>
    <row r="18" spans="1:20" ht="6" customHeight="1">
      <c r="A18" s="7"/>
      <c r="B18" s="8"/>
      <c r="C18" s="8"/>
      <c r="D18" s="8"/>
      <c r="E18" s="8"/>
      <c r="F18" s="8"/>
      <c r="G18" s="8"/>
      <c r="H18" s="8"/>
      <c r="I18" s="8"/>
      <c r="J18" s="8"/>
      <c r="K18" s="8"/>
      <c r="L18" s="8"/>
      <c r="M18" s="8"/>
      <c r="N18" s="8"/>
      <c r="O18" s="8"/>
      <c r="P18" s="8"/>
      <c r="Q18" s="8"/>
      <c r="R18" s="8"/>
      <c r="S18" s="183"/>
      <c r="T18" s="9"/>
    </row>
    <row r="19" spans="1:20" ht="6" customHeight="1">
      <c r="A19" s="7"/>
      <c r="B19" s="8"/>
      <c r="C19" s="8"/>
      <c r="D19" s="8"/>
      <c r="E19" s="8"/>
      <c r="F19" s="8"/>
      <c r="G19" s="29"/>
      <c r="H19" s="8"/>
      <c r="I19" s="8"/>
      <c r="J19" s="8"/>
      <c r="K19" s="8"/>
      <c r="L19" s="214"/>
      <c r="M19" s="8"/>
      <c r="N19" s="8"/>
      <c r="O19" s="29"/>
      <c r="P19" s="8"/>
      <c r="Q19" s="8"/>
      <c r="R19" s="99"/>
      <c r="S19" s="183"/>
      <c r="T19" s="9"/>
    </row>
    <row r="20" spans="1:20" ht="13.5" customHeight="1">
      <c r="A20" s="7"/>
      <c r="B20" s="223" t="s">
        <v>372</v>
      </c>
      <c r="C20" s="8"/>
      <c r="D20" s="8"/>
      <c r="E20" s="8"/>
      <c r="F20" s="8"/>
      <c r="G20" s="8"/>
      <c r="H20" s="8"/>
      <c r="I20" s="8"/>
      <c r="J20" s="8"/>
      <c r="K20" s="8"/>
      <c r="L20" s="8"/>
      <c r="M20" s="8"/>
      <c r="N20" s="8"/>
      <c r="O20" s="29"/>
      <c r="P20" s="8"/>
      <c r="Q20" s="8"/>
      <c r="R20" s="8"/>
      <c r="S20" s="8"/>
      <c r="T20" s="9"/>
    </row>
    <row r="21" spans="1:20" ht="6" customHeight="1">
      <c r="A21" s="7"/>
      <c r="B21" s="8"/>
      <c r="C21" s="8"/>
      <c r="D21" s="8"/>
      <c r="E21" s="8"/>
      <c r="F21" s="8"/>
      <c r="G21" s="8"/>
      <c r="H21" s="8"/>
      <c r="I21" s="8"/>
      <c r="J21" s="8"/>
      <c r="K21" s="8"/>
      <c r="L21" s="8"/>
      <c r="M21" s="8"/>
      <c r="N21" s="8"/>
      <c r="O21" s="29"/>
      <c r="P21" s="8"/>
      <c r="Q21" s="8"/>
      <c r="R21" s="8"/>
      <c r="S21" s="8"/>
      <c r="T21" s="9"/>
    </row>
    <row r="22" spans="1:20" ht="13.5" customHeight="1">
      <c r="A22" s="7"/>
      <c r="B22" s="224" t="s">
        <v>368</v>
      </c>
      <c r="C22" s="86"/>
      <c r="D22" s="86"/>
      <c r="E22" s="86"/>
      <c r="F22" s="86"/>
      <c r="G22" s="189"/>
      <c r="H22" s="86"/>
      <c r="I22" s="86"/>
      <c r="J22" s="216">
        <f>Worksheet!FL88</f>
        <v>0.67</v>
      </c>
      <c r="K22" s="189" t="str">
        <f>CONCATENATE("  (From MUTCD Table 4C-2, based on ",'Wrnt 9 Input'!B15," trains per day)")</f>
        <v xml:space="preserve">  (From MUTCD Table 4C-2, based on  trains per day)</v>
      </c>
      <c r="L22" s="86"/>
      <c r="M22" s="189"/>
      <c r="N22" s="86"/>
      <c r="O22" s="189"/>
      <c r="P22" s="86"/>
      <c r="Q22" s="190"/>
      <c r="R22" s="189"/>
      <c r="S22" s="8"/>
      <c r="T22" s="9"/>
    </row>
    <row r="23" spans="1:20" ht="9" customHeight="1">
      <c r="A23" s="7"/>
      <c r="B23" s="8"/>
      <c r="C23" s="8"/>
      <c r="D23" s="8"/>
      <c r="E23" s="8"/>
      <c r="F23" s="8"/>
      <c r="G23" s="29"/>
      <c r="H23" s="8"/>
      <c r="I23" s="8"/>
      <c r="J23" s="8"/>
      <c r="K23" s="8"/>
      <c r="L23" s="8"/>
      <c r="M23" s="8"/>
      <c r="N23" s="8"/>
      <c r="O23" s="29"/>
      <c r="P23" s="8"/>
      <c r="Q23" s="8"/>
      <c r="R23" s="8"/>
      <c r="S23" s="8"/>
      <c r="T23" s="9"/>
    </row>
    <row r="24" spans="1:20" ht="13.5" customHeight="1">
      <c r="A24" s="7"/>
      <c r="B24" s="224" t="s">
        <v>369</v>
      </c>
      <c r="C24" s="8"/>
      <c r="D24" s="8"/>
      <c r="E24" s="8"/>
      <c r="F24" s="8"/>
      <c r="G24" s="29"/>
      <c r="H24" s="8"/>
      <c r="I24" s="8"/>
      <c r="J24" s="8"/>
      <c r="K24" s="209">
        <f>Worksheet!FL98</f>
        <v>1</v>
      </c>
      <c r="L24" s="189" t="str">
        <f>CONCATENATE("  (From MUTCD Table 4C-3, based on ",'Wrnt 9 Input'!B17,"% buses)")</f>
        <v xml:space="preserve">  (From MUTCD Table 4C-3, based on % buses)</v>
      </c>
      <c r="M24" s="8"/>
      <c r="N24" s="8"/>
      <c r="O24" s="29"/>
      <c r="P24" s="8"/>
      <c r="Q24" s="8"/>
      <c r="R24" s="220"/>
      <c r="S24" s="8"/>
      <c r="T24" s="9"/>
    </row>
    <row r="25" spans="1:20" ht="9" customHeight="1">
      <c r="A25" s="7"/>
      <c r="B25" s="8"/>
      <c r="C25" s="8"/>
      <c r="D25" s="8"/>
      <c r="E25" s="8"/>
      <c r="F25" s="8"/>
      <c r="G25" s="29"/>
      <c r="H25" s="8"/>
      <c r="I25" s="8"/>
      <c r="J25" s="8"/>
      <c r="K25" s="8"/>
      <c r="L25" s="219"/>
      <c r="M25" s="8"/>
      <c r="N25" s="8"/>
      <c r="O25" s="29"/>
      <c r="P25" s="8"/>
      <c r="Q25" s="8"/>
      <c r="R25" s="8"/>
      <c r="S25" s="8"/>
      <c r="T25" s="9"/>
    </row>
    <row r="26" spans="1:20" ht="15" customHeight="1">
      <c r="A26" s="7"/>
      <c r="B26" s="224" t="s">
        <v>370</v>
      </c>
      <c r="C26" s="8"/>
      <c r="D26" s="8"/>
      <c r="E26" s="8"/>
      <c r="F26" s="8"/>
      <c r="G26" s="29"/>
      <c r="H26" s="8"/>
      <c r="I26" s="8"/>
      <c r="J26" s="8"/>
      <c r="K26" s="209">
        <f>Worksheet!FL106</f>
        <v>0.5</v>
      </c>
      <c r="L26" s="189" t="str">
        <f>CONCATENATE("  (From MUTCD Table 4C-4, based on ",'Wrnt 9 Input'!B19,"% trucks")</f>
        <v xml:space="preserve">  (From MUTCD Table 4C-4, based on % trucks</v>
      </c>
      <c r="M26" s="8"/>
      <c r="N26" s="8"/>
      <c r="O26" s="29"/>
      <c r="P26" s="8"/>
      <c r="Q26" s="8"/>
      <c r="R26" s="99"/>
      <c r="S26" s="8"/>
      <c r="T26" s="9"/>
    </row>
    <row r="27" spans="1:20" ht="15" customHeight="1">
      <c r="A27" s="7"/>
      <c r="B27" s="8"/>
      <c r="C27" s="8"/>
      <c r="D27" s="8"/>
      <c r="E27" s="8"/>
      <c r="F27" s="8"/>
      <c r="G27" s="29"/>
      <c r="H27" s="8"/>
      <c r="I27" s="8"/>
      <c r="J27" s="8"/>
      <c r="K27" s="8"/>
      <c r="L27" s="189" t="str">
        <f>CONCATENATE("  and ",'Wrnt 9 Input'!B13," ft. clear storage distance)")</f>
        <v xml:space="preserve">  and  ft. clear storage distance)</v>
      </c>
      <c r="M27" s="8"/>
      <c r="N27" s="8"/>
      <c r="O27" s="29"/>
      <c r="P27" s="8"/>
      <c r="Q27" s="8"/>
      <c r="R27" s="99"/>
      <c r="S27" s="8"/>
      <c r="T27" s="9"/>
    </row>
    <row r="28" spans="1:20" ht="9" customHeight="1" thickBot="1">
      <c r="A28" s="7"/>
      <c r="B28" s="10"/>
      <c r="C28" s="10"/>
      <c r="D28" s="10"/>
      <c r="E28" s="10"/>
      <c r="F28" s="10"/>
      <c r="G28" s="70"/>
      <c r="H28" s="10"/>
      <c r="I28" s="10"/>
      <c r="J28" s="10"/>
      <c r="K28" s="10"/>
      <c r="L28" s="10"/>
      <c r="M28" s="10"/>
      <c r="N28" s="10"/>
      <c r="O28" s="70"/>
      <c r="P28" s="10"/>
      <c r="Q28" s="10"/>
      <c r="R28" s="10"/>
      <c r="S28" s="70"/>
      <c r="T28" s="9"/>
    </row>
    <row r="29" spans="1:20" ht="21" customHeight="1">
      <c r="A29" s="7"/>
      <c r="B29" s="24" t="s">
        <v>299</v>
      </c>
      <c r="C29" s="8"/>
      <c r="D29" s="8"/>
      <c r="E29" s="8"/>
      <c r="F29" s="8"/>
      <c r="G29" s="8"/>
      <c r="H29" s="8"/>
      <c r="I29" s="8"/>
      <c r="J29" s="8"/>
      <c r="K29" s="8"/>
      <c r="L29" s="8"/>
      <c r="M29" s="8"/>
      <c r="N29" s="8"/>
      <c r="O29" s="29"/>
      <c r="P29" s="8"/>
      <c r="Q29" s="8"/>
      <c r="R29" s="8"/>
      <c r="S29" s="8"/>
      <c r="T29" s="9"/>
    </row>
    <row r="30" spans="1:20" ht="13.15" customHeight="1">
      <c r="A30" s="7"/>
      <c r="B30" s="24"/>
      <c r="C30" s="8"/>
      <c r="D30" s="8"/>
      <c r="E30" s="8"/>
      <c r="F30" s="8"/>
      <c r="G30" s="8"/>
      <c r="H30" s="8"/>
      <c r="I30" s="8"/>
      <c r="J30" s="8"/>
      <c r="K30" s="30"/>
      <c r="L30" s="30"/>
      <c r="M30" s="30"/>
      <c r="N30" s="26" t="s">
        <v>95</v>
      </c>
      <c r="O30" s="26" t="s">
        <v>73</v>
      </c>
      <c r="P30" s="46" t="str">
        <f>IF(COUNTIF(J35:R35,"Yes")&gt;=1,"X","")</f>
        <v/>
      </c>
      <c r="Q30" s="8"/>
      <c r="R30" s="26" t="s">
        <v>74</v>
      </c>
      <c r="S30" s="46" t="str">
        <f>IF(P30="X","","X")</f>
        <v>X</v>
      </c>
      <c r="T30" s="9"/>
    </row>
    <row r="31" spans="1:20" ht="6" customHeight="1">
      <c r="A31" s="7"/>
      <c r="B31" s="8"/>
      <c r="C31" s="8"/>
      <c r="D31" s="8"/>
      <c r="E31" s="8"/>
      <c r="F31" s="8"/>
      <c r="G31" s="8"/>
      <c r="H31" s="8"/>
      <c r="I31" s="8"/>
      <c r="J31" s="8"/>
      <c r="K31" s="8"/>
      <c r="L31" s="8"/>
      <c r="M31" s="8"/>
      <c r="N31" s="8"/>
      <c r="O31" s="29"/>
      <c r="P31" s="8"/>
      <c r="Q31" s="8"/>
      <c r="R31" s="8"/>
      <c r="S31" s="8"/>
      <c r="T31" s="9"/>
    </row>
    <row r="32" spans="1:20" ht="15" customHeight="1">
      <c r="A32" s="51"/>
      <c r="B32" s="406"/>
      <c r="C32" s="406"/>
      <c r="D32" s="29"/>
      <c r="E32" s="29"/>
      <c r="F32" s="29"/>
      <c r="G32" s="29"/>
      <c r="H32" s="29"/>
      <c r="I32" s="29"/>
      <c r="J32" s="211" t="str">
        <f>IF($S$11&lt;&gt;2,"N/A",Worksheet!FU18)</f>
        <v>N/A</v>
      </c>
      <c r="K32" s="116" t="str">
        <f>IF($S$11&lt;&gt;2,"N/A",Worksheet!FU19)</f>
        <v>N/A</v>
      </c>
      <c r="L32" s="116" t="str">
        <f>IF($S$11&lt;&gt;2,"N/A",Worksheet!FU20)</f>
        <v>N/A</v>
      </c>
      <c r="M32" s="116" t="str">
        <f>IF($S$11&lt;&gt;2,"N/A",Worksheet!FU21)</f>
        <v>N/A</v>
      </c>
      <c r="N32" s="116" t="str">
        <f>IF($S$11&lt;&gt;2,"N/A",Worksheet!FU22)</f>
        <v>N/A</v>
      </c>
      <c r="O32" s="116" t="str">
        <f>IF($S$11&lt;&gt;2,"N/A",Worksheet!FU23)</f>
        <v>N/A</v>
      </c>
      <c r="P32" s="327" t="str">
        <f>IF($S$11&lt;&gt;2,"N/A",Worksheet!FU24)</f>
        <v>N/A</v>
      </c>
      <c r="Q32" s="328"/>
      <c r="R32" s="327" t="str">
        <f>IF($S$11&lt;&gt;2,"N/A",Worksheet!FU25)</f>
        <v>N/A</v>
      </c>
      <c r="S32" s="328"/>
      <c r="T32" s="9"/>
    </row>
    <row r="33" spans="1:27" ht="15" customHeight="1">
      <c r="A33" s="7"/>
      <c r="B33" s="179" t="s">
        <v>374</v>
      </c>
      <c r="C33" s="180"/>
      <c r="D33" s="46"/>
      <c r="E33" s="84"/>
      <c r="F33" s="73"/>
      <c r="G33" s="73"/>
      <c r="H33" s="73"/>
      <c r="I33" s="181"/>
      <c r="J33" s="212" t="str">
        <f>IF($S$11&lt;&gt;2,"N/A",Worksheet!FV18)</f>
        <v>N/A</v>
      </c>
      <c r="K33" s="47" t="str">
        <f>IF($S$11&lt;&gt;2,"N/A",Worksheet!FV19)</f>
        <v>N/A</v>
      </c>
      <c r="L33" s="47" t="str">
        <f>IF($S$11&lt;&gt;2,"N/A",Worksheet!FV20)</f>
        <v>N/A</v>
      </c>
      <c r="M33" s="47" t="str">
        <f>IF($S$11&lt;&gt;2,"N/A",Worksheet!FV21)</f>
        <v>N/A</v>
      </c>
      <c r="N33" s="47" t="str">
        <f>IF($S$11&lt;&gt;2,"N/A",Worksheet!FV22)</f>
        <v>N/A</v>
      </c>
      <c r="O33" s="47" t="str">
        <f>IF($S$11&lt;&gt;2,"N/A",Worksheet!FV23)</f>
        <v>N/A</v>
      </c>
      <c r="P33" s="343" t="str">
        <f>IF($S$11&lt;&gt;2,"N/A",Worksheet!FV24)</f>
        <v>N/A</v>
      </c>
      <c r="Q33" s="344"/>
      <c r="R33" s="343" t="str">
        <f>IF($S$11&lt;&gt;2,"N/A",Worksheet!FV25)</f>
        <v>N/A</v>
      </c>
      <c r="S33" s="344"/>
      <c r="T33" s="9"/>
    </row>
    <row r="34" spans="1:27" ht="15" customHeight="1">
      <c r="A34" s="7"/>
      <c r="B34" s="179" t="s">
        <v>375</v>
      </c>
      <c r="C34" s="180"/>
      <c r="D34" s="46"/>
      <c r="E34" s="84"/>
      <c r="F34" s="73"/>
      <c r="G34" s="73"/>
      <c r="H34" s="73"/>
      <c r="I34" s="73"/>
      <c r="J34" s="212" t="str">
        <f>IF($S$11&lt;&gt;2,"N/A",Worksheet!FW18)</f>
        <v>N/A</v>
      </c>
      <c r="K34" s="47" t="str">
        <f>IF($S$11&lt;&gt;2,"N/A",Worksheet!FW19)</f>
        <v>N/A</v>
      </c>
      <c r="L34" s="47" t="str">
        <f>IF($S$11&lt;&gt;2,"N/A",Worksheet!FW20)</f>
        <v>N/A</v>
      </c>
      <c r="M34" s="47" t="str">
        <f>IF($S$11&lt;&gt;2,"N/A",Worksheet!FW21)</f>
        <v>N/A</v>
      </c>
      <c r="N34" s="47" t="str">
        <f>IF($S$11&lt;&gt;2,"N/A",Worksheet!FW22)</f>
        <v>N/A</v>
      </c>
      <c r="O34" s="47" t="str">
        <f>IF($S$11&lt;&gt;2,"N/A",Worksheet!FW23)</f>
        <v>N/A</v>
      </c>
      <c r="P34" s="343" t="str">
        <f>IF($S$11&lt;&gt;2,"N/A",Worksheet!FW24)</f>
        <v>N/A</v>
      </c>
      <c r="Q34" s="344"/>
      <c r="R34" s="343" t="str">
        <f>IF($S$11&lt;&gt;2,"N/A",Worksheet!FW25)</f>
        <v>N/A</v>
      </c>
      <c r="S34" s="344"/>
      <c r="T34" s="9"/>
    </row>
    <row r="35" spans="1:27" ht="15" customHeight="1">
      <c r="A35" s="7"/>
      <c r="B35" s="408" t="s">
        <v>380</v>
      </c>
      <c r="C35" s="409"/>
      <c r="D35" s="409"/>
      <c r="E35" s="409"/>
      <c r="F35" s="409"/>
      <c r="G35" s="409"/>
      <c r="H35" s="409"/>
      <c r="I35" s="410"/>
      <c r="J35" s="207" t="str">
        <f>IF($S$11&lt;&gt;2,"N/A",Worksheet!FY18)</f>
        <v>N/A</v>
      </c>
      <c r="K35" s="208" t="str">
        <f>IF($S$11&lt;&gt;2,"N/A",Worksheet!FY19)</f>
        <v>N/A</v>
      </c>
      <c r="L35" s="208" t="str">
        <f>IF($S$11&lt;&gt;2,"N/A",Worksheet!FY20)</f>
        <v>N/A</v>
      </c>
      <c r="M35" s="208" t="str">
        <f>IF($S$11&lt;&gt;2,"N/A",Worksheet!FY21)</f>
        <v>N/A</v>
      </c>
      <c r="N35" s="208" t="str">
        <f>IF($S$11&lt;&gt;2,"N/A",Worksheet!FY22)</f>
        <v>N/A</v>
      </c>
      <c r="O35" s="208" t="str">
        <f>IF($S$11&lt;&gt;2,"N/A",Worksheet!FY23)</f>
        <v>N/A</v>
      </c>
      <c r="P35" s="289" t="str">
        <f>IF($S$11&lt;&gt;2,"N/A",Worksheet!FY24)</f>
        <v>N/A</v>
      </c>
      <c r="Q35" s="312"/>
      <c r="R35" s="289" t="str">
        <f>IF($S$11&lt;&gt;2,"N/A",Worksheet!FY25)</f>
        <v>N/A</v>
      </c>
      <c r="S35" s="312"/>
      <c r="T35" s="9"/>
    </row>
    <row r="36" spans="1:27" ht="13.5" customHeight="1">
      <c r="A36" s="7"/>
      <c r="B36" s="86" t="s">
        <v>378</v>
      </c>
      <c r="C36" s="8"/>
      <c r="D36" s="8"/>
      <c r="E36" s="8"/>
      <c r="F36" s="8"/>
      <c r="G36" s="8"/>
      <c r="H36" s="8"/>
      <c r="I36" s="8"/>
      <c r="J36" s="8"/>
      <c r="K36" s="8"/>
      <c r="L36" s="8"/>
      <c r="M36" s="8"/>
      <c r="N36" s="8"/>
      <c r="O36" s="29"/>
      <c r="P36" s="8"/>
      <c r="Q36" s="8"/>
      <c r="R36" s="8"/>
      <c r="S36" s="8"/>
      <c r="T36" s="9"/>
    </row>
    <row r="37" spans="1:27" ht="13.5" customHeight="1">
      <c r="A37" s="7"/>
      <c r="B37" s="86" t="s">
        <v>379</v>
      </c>
      <c r="C37" s="8"/>
      <c r="D37" s="8"/>
      <c r="E37" s="8"/>
      <c r="F37" s="8"/>
      <c r="G37" s="8"/>
      <c r="H37" s="8"/>
      <c r="I37" s="8"/>
      <c r="J37" s="8"/>
      <c r="K37" s="8"/>
      <c r="L37" s="8"/>
      <c r="M37" s="8"/>
      <c r="N37" s="8"/>
      <c r="O37" s="29"/>
      <c r="P37" s="8"/>
      <c r="Q37" s="8"/>
      <c r="R37" s="8"/>
      <c r="S37" s="8"/>
      <c r="T37" s="9"/>
    </row>
    <row r="38" spans="1:27" ht="15" customHeight="1">
      <c r="A38" s="7"/>
      <c r="B38" s="8"/>
      <c r="C38" s="8"/>
      <c r="D38" s="8"/>
      <c r="E38" s="8"/>
      <c r="F38" s="8"/>
      <c r="G38" s="8"/>
      <c r="H38" s="8"/>
      <c r="I38" s="8"/>
      <c r="J38" s="8"/>
      <c r="K38" s="8"/>
      <c r="L38" s="8"/>
      <c r="M38" s="8"/>
      <c r="N38" s="8"/>
      <c r="O38" s="29"/>
      <c r="P38" s="8"/>
      <c r="Q38" s="8"/>
      <c r="R38" s="8"/>
      <c r="S38" s="8"/>
      <c r="T38" s="9"/>
    </row>
    <row r="39" spans="1:27" ht="15" customHeight="1">
      <c r="A39" s="7"/>
      <c r="B39" s="8"/>
      <c r="C39" s="8"/>
      <c r="D39" s="8"/>
      <c r="E39" s="8"/>
      <c r="F39" s="8"/>
      <c r="G39" s="8"/>
      <c r="H39" s="8"/>
      <c r="I39" s="8"/>
      <c r="J39" s="8"/>
      <c r="K39" s="8"/>
      <c r="L39" s="8"/>
      <c r="M39" s="8"/>
      <c r="N39" s="8"/>
      <c r="O39" s="29"/>
      <c r="P39" s="8"/>
      <c r="Q39" s="8"/>
      <c r="R39" s="8"/>
      <c r="S39" s="8"/>
      <c r="T39" s="9"/>
    </row>
    <row r="40" spans="1:27" ht="15" customHeight="1">
      <c r="A40" s="7"/>
      <c r="B40" s="8"/>
      <c r="C40" s="8"/>
      <c r="D40" s="8"/>
      <c r="E40" s="8"/>
      <c r="F40" s="8"/>
      <c r="G40" s="8"/>
      <c r="H40" s="8"/>
      <c r="I40" s="8"/>
      <c r="J40" s="8"/>
      <c r="K40" s="8"/>
      <c r="L40" s="8"/>
      <c r="M40" s="8"/>
      <c r="N40" s="8"/>
      <c r="O40" s="29"/>
      <c r="P40" s="8"/>
      <c r="Q40" s="8"/>
      <c r="R40" s="8"/>
      <c r="S40" s="8"/>
      <c r="T40" s="9"/>
      <c r="V40" s="227"/>
      <c r="W40" s="227" t="s">
        <v>171</v>
      </c>
      <c r="X40" s="227" t="s">
        <v>156</v>
      </c>
      <c r="Y40" s="227"/>
      <c r="Z40" s="227" t="s">
        <v>410</v>
      </c>
      <c r="AA40" s="227"/>
    </row>
    <row r="41" spans="1:27" ht="15" customHeight="1">
      <c r="A41" s="7"/>
      <c r="B41" s="8"/>
      <c r="C41" s="8"/>
      <c r="D41" s="8"/>
      <c r="E41" s="8"/>
      <c r="F41" s="8"/>
      <c r="G41" s="8"/>
      <c r="H41" s="8"/>
      <c r="I41" s="8"/>
      <c r="J41" s="8"/>
      <c r="K41" s="8"/>
      <c r="L41" s="8"/>
      <c r="M41" s="8"/>
      <c r="N41" s="8"/>
      <c r="O41" s="29"/>
      <c r="P41" s="8"/>
      <c r="Q41" s="8"/>
      <c r="R41" s="8"/>
      <c r="S41" s="8"/>
      <c r="T41" s="9"/>
      <c r="V41" s="227"/>
      <c r="W41" s="227" t="s">
        <v>400</v>
      </c>
      <c r="X41" s="227" t="s">
        <v>401</v>
      </c>
      <c r="Y41" s="227" t="s">
        <v>402</v>
      </c>
      <c r="Z41" s="227" t="s">
        <v>214</v>
      </c>
      <c r="AA41" s="227" t="s">
        <v>402</v>
      </c>
    </row>
    <row r="42" spans="1:27" ht="15" customHeight="1">
      <c r="A42" s="7"/>
      <c r="B42" s="8"/>
      <c r="C42" s="8"/>
      <c r="D42" s="8"/>
      <c r="E42" s="8"/>
      <c r="F42" s="8"/>
      <c r="G42" s="8"/>
      <c r="H42" s="8"/>
      <c r="I42" s="8"/>
      <c r="J42" s="8"/>
      <c r="K42" s="8"/>
      <c r="L42" s="8"/>
      <c r="M42" s="8"/>
      <c r="N42" s="8"/>
      <c r="O42" s="29"/>
      <c r="P42" s="8"/>
      <c r="Q42" s="8"/>
      <c r="R42" s="8"/>
      <c r="S42" s="8"/>
      <c r="T42" s="9"/>
      <c r="V42" s="227" t="s">
        <v>397</v>
      </c>
      <c r="W42" s="227" t="s">
        <v>165</v>
      </c>
      <c r="X42" s="227" t="s">
        <v>171</v>
      </c>
      <c r="Y42" s="227" t="s">
        <v>403</v>
      </c>
      <c r="Z42" s="231" t="s">
        <v>171</v>
      </c>
      <c r="AA42" s="227" t="s">
        <v>403</v>
      </c>
    </row>
    <row r="43" spans="1:27" ht="15" customHeight="1">
      <c r="A43" s="7"/>
      <c r="B43" s="8"/>
      <c r="C43" s="8"/>
      <c r="D43" s="8"/>
      <c r="E43" s="8"/>
      <c r="F43" s="8"/>
      <c r="G43" s="8"/>
      <c r="H43" s="8"/>
      <c r="I43" s="8"/>
      <c r="J43" s="8"/>
      <c r="K43" s="8"/>
      <c r="L43" s="8"/>
      <c r="M43" s="8"/>
      <c r="N43" s="8"/>
      <c r="O43" s="29"/>
      <c r="P43" s="8"/>
      <c r="Q43" s="8"/>
      <c r="R43" s="8"/>
      <c r="S43" s="8"/>
      <c r="T43" s="9"/>
      <c r="V43" s="113" t="str">
        <f>Worksheet!FU18</f>
        <v>N/A</v>
      </c>
      <c r="W43" s="239" t="str">
        <f>Worksheet!FX18</f>
        <v>N/A</v>
      </c>
      <c r="X43" s="227" t="str">
        <f>Worksheet!FV18</f>
        <v>N/A</v>
      </c>
      <c r="Y43" s="240" t="str">
        <f>IF($S$12=0,"N/A",IF(V43="N/A",0,IF(X43&gt;$Y$53,$W$53,$W$52*X43/800)))</f>
        <v>N/A</v>
      </c>
      <c r="Z43" s="227" t="str">
        <f>Worksheet!FW18</f>
        <v>N/A</v>
      </c>
      <c r="AA43" s="240" t="str">
        <f>IF($S$12=0,"N/A",IF(V43="N/A",0,$W$54*(Z43/350)))</f>
        <v>N/A</v>
      </c>
    </row>
    <row r="44" spans="1:27" ht="15" customHeight="1">
      <c r="A44" s="7"/>
      <c r="B44" s="8"/>
      <c r="C44" s="8"/>
      <c r="D44" s="8"/>
      <c r="E44" s="8"/>
      <c r="F44" s="8"/>
      <c r="G44" s="8"/>
      <c r="H44" s="8"/>
      <c r="I44" s="8"/>
      <c r="J44" s="8"/>
      <c r="K44" s="8"/>
      <c r="L44" s="8"/>
      <c r="M44" s="8"/>
      <c r="N44" s="8"/>
      <c r="O44" s="29"/>
      <c r="P44" s="8"/>
      <c r="Q44" s="8"/>
      <c r="R44" s="8"/>
      <c r="S44" s="8"/>
      <c r="T44" s="9"/>
      <c r="V44" s="113" t="str">
        <f>Worksheet!FU19</f>
        <v>N/A</v>
      </c>
      <c r="W44" s="239" t="str">
        <f>Worksheet!FX19</f>
        <v>N/A</v>
      </c>
      <c r="X44" s="227" t="str">
        <f>Worksheet!FV19</f>
        <v>N/A</v>
      </c>
      <c r="Y44" s="240" t="str">
        <f t="shared" ref="Y44:Y50" si="0">IF($S$12=0,"N/A",IF(V44="N/A",0,IF(X44&gt;$Y$53,$W$53,$W$52*X44/800)))</f>
        <v>N/A</v>
      </c>
      <c r="Z44" s="227" t="str">
        <f>Worksheet!FW19</f>
        <v>N/A</v>
      </c>
      <c r="AA44" s="240" t="str">
        <f t="shared" ref="AA44:AA50" si="1">IF($S$12=0,"N/A",IF(V44="N/A",0,$W$54*(Z44/350)))</f>
        <v>N/A</v>
      </c>
    </row>
    <row r="45" spans="1:27" ht="15" customHeight="1">
      <c r="A45" s="7"/>
      <c r="B45" s="8"/>
      <c r="C45" s="8"/>
      <c r="D45" s="8"/>
      <c r="E45" s="8"/>
      <c r="F45" s="8"/>
      <c r="G45" s="8"/>
      <c r="H45" s="8"/>
      <c r="I45" s="8"/>
      <c r="J45" s="8"/>
      <c r="K45" s="8"/>
      <c r="L45" s="8"/>
      <c r="M45" s="8"/>
      <c r="N45" s="8"/>
      <c r="O45" s="29"/>
      <c r="P45" s="8"/>
      <c r="Q45" s="8"/>
      <c r="R45" s="8"/>
      <c r="S45" s="8"/>
      <c r="T45" s="9"/>
      <c r="V45" s="113" t="str">
        <f>Worksheet!FU20</f>
        <v>N/A</v>
      </c>
      <c r="W45" s="239" t="str">
        <f>Worksheet!FX20</f>
        <v>N/A</v>
      </c>
      <c r="X45" s="227" t="str">
        <f>Worksheet!FV20</f>
        <v>N/A</v>
      </c>
      <c r="Y45" s="240" t="str">
        <f t="shared" si="0"/>
        <v>N/A</v>
      </c>
      <c r="Z45" s="227" t="str">
        <f>Worksheet!FW20</f>
        <v>N/A</v>
      </c>
      <c r="AA45" s="240" t="str">
        <f t="shared" si="1"/>
        <v>N/A</v>
      </c>
    </row>
    <row r="46" spans="1:27" ht="15" customHeight="1">
      <c r="A46" s="7"/>
      <c r="B46" s="8"/>
      <c r="C46" s="8"/>
      <c r="D46" s="8"/>
      <c r="E46" s="8"/>
      <c r="F46" s="8"/>
      <c r="G46" s="8"/>
      <c r="H46" s="8"/>
      <c r="I46" s="8"/>
      <c r="J46" s="8"/>
      <c r="K46" s="8"/>
      <c r="L46" s="8"/>
      <c r="M46" s="8"/>
      <c r="N46" s="8"/>
      <c r="O46" s="29"/>
      <c r="P46" s="8"/>
      <c r="Q46" s="8"/>
      <c r="R46" s="8"/>
      <c r="S46" s="8"/>
      <c r="T46" s="9"/>
      <c r="V46" s="113" t="str">
        <f>Worksheet!FU21</f>
        <v>N/A</v>
      </c>
      <c r="W46" s="239" t="str">
        <f>Worksheet!FX21</f>
        <v>N/A</v>
      </c>
      <c r="X46" s="227" t="str">
        <f>Worksheet!FV21</f>
        <v>N/A</v>
      </c>
      <c r="Y46" s="240" t="str">
        <f t="shared" si="0"/>
        <v>N/A</v>
      </c>
      <c r="Z46" s="227" t="str">
        <f>Worksheet!FW21</f>
        <v>N/A</v>
      </c>
      <c r="AA46" s="240" t="str">
        <f t="shared" si="1"/>
        <v>N/A</v>
      </c>
    </row>
    <row r="47" spans="1:27" ht="15" customHeight="1">
      <c r="A47" s="7"/>
      <c r="B47" s="8"/>
      <c r="C47" s="8"/>
      <c r="D47" s="8"/>
      <c r="E47" s="8"/>
      <c r="F47" s="8"/>
      <c r="G47" s="8"/>
      <c r="H47" s="8"/>
      <c r="I47" s="8"/>
      <c r="J47" s="8"/>
      <c r="K47" s="8"/>
      <c r="L47" s="8"/>
      <c r="M47" s="8"/>
      <c r="N47" s="8"/>
      <c r="O47" s="29"/>
      <c r="P47" s="8"/>
      <c r="Q47" s="8"/>
      <c r="R47" s="8"/>
      <c r="S47" s="8"/>
      <c r="T47" s="9"/>
      <c r="V47" s="113" t="str">
        <f>Worksheet!FU22</f>
        <v>N/A</v>
      </c>
      <c r="W47" s="239" t="str">
        <f>Worksheet!FX22</f>
        <v>N/A</v>
      </c>
      <c r="X47" s="227" t="str">
        <f>Worksheet!FV22</f>
        <v>N/A</v>
      </c>
      <c r="Y47" s="240" t="str">
        <f t="shared" si="0"/>
        <v>N/A</v>
      </c>
      <c r="Z47" s="227" t="str">
        <f>Worksheet!FW22</f>
        <v>N/A</v>
      </c>
      <c r="AA47" s="240" t="str">
        <f t="shared" si="1"/>
        <v>N/A</v>
      </c>
    </row>
    <row r="48" spans="1:27" ht="15" customHeight="1">
      <c r="A48" s="7"/>
      <c r="B48" s="8"/>
      <c r="C48" s="8"/>
      <c r="D48" s="8"/>
      <c r="E48" s="8"/>
      <c r="F48" s="8"/>
      <c r="G48" s="8"/>
      <c r="H48" s="8"/>
      <c r="I48" s="8"/>
      <c r="J48" s="8"/>
      <c r="K48" s="8"/>
      <c r="L48" s="8"/>
      <c r="M48" s="8"/>
      <c r="N48" s="8"/>
      <c r="O48" s="29"/>
      <c r="P48" s="8"/>
      <c r="Q48" s="8"/>
      <c r="R48" s="8"/>
      <c r="S48" s="8"/>
      <c r="T48" s="9"/>
      <c r="V48" s="113" t="str">
        <f>Worksheet!FU23</f>
        <v>N/A</v>
      </c>
      <c r="W48" s="239" t="str">
        <f>Worksheet!FX23</f>
        <v>N/A</v>
      </c>
      <c r="X48" s="227" t="str">
        <f>Worksheet!FV23</f>
        <v>N/A</v>
      </c>
      <c r="Y48" s="240" t="str">
        <f t="shared" si="0"/>
        <v>N/A</v>
      </c>
      <c r="Z48" s="227" t="str">
        <f>Worksheet!FW23</f>
        <v>N/A</v>
      </c>
      <c r="AA48" s="240" t="str">
        <f t="shared" si="1"/>
        <v>N/A</v>
      </c>
    </row>
    <row r="49" spans="1:27">
      <c r="A49" s="51"/>
      <c r="B49" s="29"/>
      <c r="C49" s="29"/>
      <c r="D49" s="29"/>
      <c r="E49" s="120"/>
      <c r="F49" s="120"/>
      <c r="G49" s="120"/>
      <c r="H49" s="120"/>
      <c r="I49" s="111"/>
      <c r="J49" s="8"/>
      <c r="K49" s="29"/>
      <c r="L49" s="29"/>
      <c r="M49" s="29"/>
      <c r="N49" s="29"/>
      <c r="O49" s="29"/>
      <c r="P49" s="29"/>
      <c r="Q49" s="29"/>
      <c r="R49" s="29"/>
      <c r="S49" s="29"/>
      <c r="T49" s="52"/>
      <c r="V49" s="113" t="str">
        <f>Worksheet!FU24</f>
        <v>N/A</v>
      </c>
      <c r="W49" s="239" t="str">
        <f>Worksheet!FX24</f>
        <v>N/A</v>
      </c>
      <c r="X49" s="227" t="str">
        <f>Worksheet!FV24</f>
        <v>N/A</v>
      </c>
      <c r="Y49" s="240" t="str">
        <f t="shared" si="0"/>
        <v>N/A</v>
      </c>
      <c r="Z49" s="227" t="str">
        <f>Worksheet!FW24</f>
        <v>N/A</v>
      </c>
      <c r="AA49" s="240" t="str">
        <f t="shared" si="1"/>
        <v>N/A</v>
      </c>
    </row>
    <row r="50" spans="1:27">
      <c r="A50" s="7"/>
      <c r="B50" s="88"/>
      <c r="C50" s="8"/>
      <c r="D50" s="8"/>
      <c r="E50" s="8"/>
      <c r="F50" s="8"/>
      <c r="G50" s="8"/>
      <c r="H50" s="8"/>
      <c r="I50" s="8"/>
      <c r="J50" s="8"/>
      <c r="K50" s="8"/>
      <c r="L50" s="8"/>
      <c r="M50" s="8"/>
      <c r="N50" s="8"/>
      <c r="O50" s="29"/>
      <c r="P50" s="8"/>
      <c r="Q50" s="8"/>
      <c r="R50" s="8"/>
      <c r="S50" s="8"/>
      <c r="T50" s="9"/>
      <c r="V50" s="113" t="str">
        <f>Worksheet!FU25</f>
        <v>N/A</v>
      </c>
      <c r="W50" s="239" t="str">
        <f>Worksheet!FX25</f>
        <v>N/A</v>
      </c>
      <c r="X50" s="227" t="str">
        <f>Worksheet!FV25</f>
        <v>N/A</v>
      </c>
      <c r="Y50" s="240" t="str">
        <f t="shared" si="0"/>
        <v>N/A</v>
      </c>
      <c r="Z50" s="227" t="str">
        <f>Worksheet!FW25</f>
        <v>N/A</v>
      </c>
      <c r="AA50" s="240" t="str">
        <f t="shared" si="1"/>
        <v>N/A</v>
      </c>
    </row>
    <row r="51" spans="1:27">
      <c r="A51" s="7"/>
      <c r="B51" s="86"/>
      <c r="C51" s="8"/>
      <c r="D51" s="8"/>
      <c r="E51" s="8"/>
      <c r="F51" s="8"/>
      <c r="G51" s="8"/>
      <c r="H51" s="8"/>
      <c r="I51" s="8"/>
      <c r="J51" s="8"/>
      <c r="K51" s="8"/>
      <c r="L51" s="8"/>
      <c r="M51" s="8"/>
      <c r="N51" s="8"/>
      <c r="O51" s="29"/>
      <c r="P51" s="8"/>
      <c r="Q51" s="8"/>
      <c r="R51" s="8"/>
      <c r="S51" s="8"/>
      <c r="T51" s="9"/>
      <c r="V51" s="228"/>
      <c r="W51" s="228"/>
      <c r="X51" s="228"/>
      <c r="Y51" s="228"/>
      <c r="Z51" s="228"/>
      <c r="AA51" s="228"/>
    </row>
    <row r="52" spans="1:27">
      <c r="A52" s="7"/>
      <c r="B52" s="88"/>
      <c r="C52" s="8"/>
      <c r="D52" s="8"/>
      <c r="E52" s="8"/>
      <c r="F52" s="8"/>
      <c r="G52" s="8"/>
      <c r="H52" s="8"/>
      <c r="I52" s="8"/>
      <c r="J52" s="8"/>
      <c r="K52" s="8"/>
      <c r="L52" s="8"/>
      <c r="M52" s="8"/>
      <c r="N52" s="8"/>
      <c r="O52" s="29"/>
      <c r="P52" s="8"/>
      <c r="Q52" s="8"/>
      <c r="R52" s="8"/>
      <c r="S52" s="8"/>
      <c r="T52" s="9"/>
      <c r="V52" s="228"/>
      <c r="W52" s="228">
        <v>5.25</v>
      </c>
      <c r="X52" s="228" t="s">
        <v>405</v>
      </c>
      <c r="Y52" s="228"/>
      <c r="Z52" s="228"/>
      <c r="AA52" s="228"/>
    </row>
    <row r="53" spans="1:27">
      <c r="A53" s="7"/>
      <c r="B53" s="86"/>
      <c r="C53" s="8"/>
      <c r="D53" s="8"/>
      <c r="E53" s="8"/>
      <c r="F53" s="8"/>
      <c r="G53" s="8"/>
      <c r="H53" s="8"/>
      <c r="I53" s="8"/>
      <c r="J53" s="8"/>
      <c r="K53" s="8"/>
      <c r="L53" s="8"/>
      <c r="M53" s="8"/>
      <c r="N53" s="8"/>
      <c r="O53" s="29"/>
      <c r="P53" s="8"/>
      <c r="Q53" s="8"/>
      <c r="R53" s="8"/>
      <c r="S53" s="8"/>
      <c r="T53" s="9"/>
      <c r="V53" s="232"/>
      <c r="W53" s="228">
        <v>5.57</v>
      </c>
      <c r="X53" s="228" t="s">
        <v>404</v>
      </c>
      <c r="Y53" s="230">
        <f>800*W53/W52</f>
        <v>848.76190476190482</v>
      </c>
      <c r="Z53" s="228"/>
      <c r="AA53" s="228"/>
    </row>
    <row r="54" spans="1:27">
      <c r="A54" s="7"/>
      <c r="B54" s="86"/>
      <c r="C54" s="8"/>
      <c r="D54" s="8"/>
      <c r="E54" s="8"/>
      <c r="F54" s="8"/>
      <c r="G54" s="8"/>
      <c r="H54" s="8"/>
      <c r="I54" s="8"/>
      <c r="J54" s="8"/>
      <c r="K54" s="8"/>
      <c r="L54" s="8"/>
      <c r="M54" s="8"/>
      <c r="N54" s="8"/>
      <c r="O54" s="29"/>
      <c r="P54" s="8"/>
      <c r="Q54" s="8"/>
      <c r="R54" s="8"/>
      <c r="S54" s="8"/>
      <c r="T54" s="9"/>
      <c r="V54" s="228"/>
      <c r="W54" s="228">
        <v>2.72</v>
      </c>
      <c r="X54" s="228" t="s">
        <v>406</v>
      </c>
      <c r="Y54" s="228"/>
      <c r="Z54" s="228"/>
      <c r="AA54" s="228"/>
    </row>
    <row r="55" spans="1:27">
      <c r="A55" s="7"/>
      <c r="B55" s="86"/>
      <c r="C55" s="8"/>
      <c r="D55" s="8"/>
      <c r="E55" s="8"/>
      <c r="F55" s="8"/>
      <c r="G55" s="8"/>
      <c r="H55" s="8"/>
      <c r="I55" s="8"/>
      <c r="J55" s="8"/>
      <c r="K55" s="8"/>
      <c r="L55" s="8"/>
      <c r="M55" s="8"/>
      <c r="N55" s="8"/>
      <c r="O55" s="29"/>
      <c r="P55" s="8"/>
      <c r="Q55" s="8"/>
      <c r="R55" s="8"/>
      <c r="S55" s="8"/>
      <c r="T55" s="9"/>
    </row>
    <row r="56" spans="1:27">
      <c r="A56" s="7"/>
      <c r="B56" s="8"/>
      <c r="C56" s="8"/>
      <c r="D56" s="8"/>
      <c r="E56" s="8"/>
      <c r="F56" s="8"/>
      <c r="G56" s="8"/>
      <c r="H56" s="8"/>
      <c r="I56" s="8"/>
      <c r="J56" s="8"/>
      <c r="K56" s="8"/>
      <c r="L56" s="8"/>
      <c r="M56" s="8"/>
      <c r="N56" s="8"/>
      <c r="O56" s="29"/>
      <c r="P56" s="8"/>
      <c r="Q56" s="8"/>
      <c r="R56" s="8"/>
      <c r="S56" s="8"/>
      <c r="T56" s="9"/>
    </row>
    <row r="57" spans="1:27" ht="15.75">
      <c r="A57" s="7"/>
      <c r="B57" s="24"/>
      <c r="C57" s="8"/>
      <c r="D57" s="8"/>
      <c r="E57" s="8"/>
      <c r="F57" s="8"/>
      <c r="G57" s="8"/>
      <c r="H57" s="8"/>
      <c r="I57" s="8"/>
      <c r="J57" s="8"/>
      <c r="K57" s="8"/>
      <c r="L57" s="8"/>
      <c r="M57" s="8"/>
      <c r="N57" s="8"/>
      <c r="O57" s="29"/>
      <c r="P57" s="8"/>
      <c r="Q57" s="8"/>
      <c r="R57" s="8"/>
      <c r="S57" s="8"/>
      <c r="T57" s="9"/>
    </row>
    <row r="58" spans="1:27" ht="13.5" thickBot="1">
      <c r="A58" s="27"/>
      <c r="B58" s="10"/>
      <c r="C58" s="10"/>
      <c r="D58" s="10"/>
      <c r="E58" s="10"/>
      <c r="F58" s="10"/>
      <c r="G58" s="10"/>
      <c r="H58" s="10"/>
      <c r="I58" s="10"/>
      <c r="J58" s="10"/>
      <c r="K58" s="10"/>
      <c r="L58" s="10"/>
      <c r="M58" s="10"/>
      <c r="N58" s="10"/>
      <c r="O58" s="70"/>
      <c r="P58" s="10"/>
      <c r="Q58" s="10"/>
      <c r="R58" s="10"/>
      <c r="S58" s="10"/>
      <c r="T58" s="11"/>
    </row>
  </sheetData>
  <sheetProtection password="E0BD" sheet="1" objects="1" scenarios="1"/>
  <protectedRanges>
    <protectedRange sqref="R24" name="Range1"/>
  </protectedRanges>
  <mergeCells count="25">
    <mergeCell ref="K11:M11"/>
    <mergeCell ref="B2:S2"/>
    <mergeCell ref="B3:S3"/>
    <mergeCell ref="B4:S4"/>
    <mergeCell ref="L6:M6"/>
    <mergeCell ref="Q6:S6"/>
    <mergeCell ref="B8:D8"/>
    <mergeCell ref="F8:G8"/>
    <mergeCell ref="L8:M8"/>
    <mergeCell ref="Q8:S8"/>
    <mergeCell ref="B9:D9"/>
    <mergeCell ref="F9:G9"/>
    <mergeCell ref="B11:C11"/>
    <mergeCell ref="D11:G11"/>
    <mergeCell ref="H11:J11"/>
    <mergeCell ref="B35:I35"/>
    <mergeCell ref="P35:Q35"/>
    <mergeCell ref="R35:S35"/>
    <mergeCell ref="B32:C32"/>
    <mergeCell ref="P32:Q32"/>
    <mergeCell ref="R32:S32"/>
    <mergeCell ref="P33:Q33"/>
    <mergeCell ref="R33:S33"/>
    <mergeCell ref="P34:Q34"/>
    <mergeCell ref="R34:S34"/>
  </mergeCells>
  <conditionalFormatting sqref="J35:S35">
    <cfRule type="cellIs" dxfId="7" priority="7" stopIfTrue="1" operator="equal">
      <formula>"Close"</formula>
    </cfRule>
    <cfRule type="cellIs" dxfId="6" priority="8" stopIfTrue="1" operator="equal">
      <formula>"Yes"</formula>
    </cfRule>
    <cfRule type="cellIs" dxfId="5" priority="9" stopIfTrue="1" operator="equal">
      <formula>"No"</formula>
    </cfRule>
  </conditionalFormatting>
  <conditionalFormatting sqref="S11">
    <cfRule type="cellIs" dxfId="4" priority="5" operator="notEqual">
      <formula>2</formula>
    </cfRule>
  </conditionalFormatting>
  <conditionalFormatting sqref="W43:W50">
    <cfRule type="cellIs" dxfId="3" priority="2" stopIfTrue="1" operator="greaterThanOrEqual">
      <formula>3</formula>
    </cfRule>
    <cfRule type="cellIs" dxfId="2" priority="3" stopIfTrue="1" operator="lessThanOrEqual">
      <formula>-3</formula>
    </cfRule>
    <cfRule type="cellIs" dxfId="1" priority="4" stopIfTrue="1" operator="between">
      <formula>-3</formula>
      <formula>3</formula>
    </cfRule>
    <cfRule type="cellIs" dxfId="0" priority="1" operator="equal">
      <formula>"N/A"</formula>
    </cfRule>
  </conditionalFormatting>
  <printOptions horizontalCentered="1" verticalCentered="1"/>
  <pageMargins left="0.5" right="0.5" top="0.5" bottom="0.5" header="0" footer="0"/>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dimension ref="A1:GD165"/>
  <sheetViews>
    <sheetView workbookViewId="0"/>
  </sheetViews>
  <sheetFormatPr defaultRowHeight="12.75"/>
  <cols>
    <col min="1" max="1" width="8.85546875" style="72" customWidth="1"/>
    <col min="2" max="2" width="14" style="61" bestFit="1" customWidth="1"/>
    <col min="3" max="3" width="14.7109375" style="61" customWidth="1"/>
    <col min="4" max="4" width="5.7109375" style="61" customWidth="1"/>
    <col min="5" max="5" width="6.7109375" style="61" customWidth="1"/>
    <col min="6" max="8" width="5.7109375" style="61" customWidth="1"/>
    <col min="9" max="9" width="6.7109375" style="61" customWidth="1"/>
    <col min="10" max="12" width="5.7109375" style="61" customWidth="1"/>
    <col min="13" max="13" width="6.7109375" style="61" customWidth="1"/>
    <col min="14" max="16" width="5.7109375" style="61" customWidth="1"/>
    <col min="17" max="17" width="6.7109375" style="61" customWidth="1"/>
    <col min="18" max="19" width="5.7109375" style="61" customWidth="1"/>
    <col min="21" max="21" width="7.7109375" style="61" bestFit="1" customWidth="1"/>
    <col min="22" max="22" width="8.28515625" style="61" bestFit="1" customWidth="1"/>
    <col min="23" max="23" width="6.42578125" style="61" bestFit="1" customWidth="1"/>
    <col min="24" max="24" width="10.7109375" style="61" bestFit="1" customWidth="1"/>
    <col min="25" max="25" width="7.7109375" style="61" bestFit="1" customWidth="1"/>
    <col min="26" max="26" width="9" style="61" bestFit="1" customWidth="1"/>
    <col min="27" max="27" width="7.140625" style="61" bestFit="1" customWidth="1"/>
    <col min="28" max="28" width="11.28515625" style="61" bestFit="1" customWidth="1"/>
    <col min="29" max="29" width="10.7109375" style="61" bestFit="1" customWidth="1"/>
    <col min="30" max="30" width="3.7109375" style="61" customWidth="1"/>
    <col min="31" max="33" width="8.85546875" style="61" customWidth="1"/>
    <col min="34" max="34" width="3.7109375" style="61" customWidth="1"/>
    <col min="35" max="35" width="9.28515625" style="61" bestFit="1" customWidth="1"/>
    <col min="36" max="36" width="7.85546875" style="61" bestFit="1" customWidth="1"/>
    <col min="37" max="37" width="9.7109375" style="61" bestFit="1" customWidth="1"/>
    <col min="38" max="38" width="8.140625" style="61" bestFit="1" customWidth="1"/>
    <col min="39" max="39" width="10.42578125" style="61" bestFit="1" customWidth="1"/>
    <col min="40" max="40" width="11.7109375" style="61" bestFit="1" customWidth="1"/>
    <col min="41" max="42" width="11.140625" style="61" bestFit="1" customWidth="1"/>
    <col min="43" max="43" width="3.7109375" style="61" customWidth="1"/>
    <col min="44" max="44" width="10.5703125" style="61" bestFit="1" customWidth="1"/>
    <col min="45" max="45" width="7.85546875" style="61" bestFit="1" customWidth="1"/>
    <col min="46" max="46" width="10.42578125" style="61" bestFit="1" customWidth="1"/>
    <col min="47" max="47" width="8.140625" style="61" bestFit="1" customWidth="1"/>
    <col min="48" max="48" width="10.42578125" style="61" bestFit="1" customWidth="1"/>
    <col min="49" max="49" width="11.7109375" style="61" bestFit="1" customWidth="1"/>
    <col min="50" max="51" width="11.140625" style="61" bestFit="1" customWidth="1"/>
    <col min="52" max="52" width="3.7109375" style="61" customWidth="1"/>
    <col min="53" max="53" width="10.5703125" style="61" bestFit="1" customWidth="1"/>
    <col min="54" max="54" width="7.85546875" style="61" bestFit="1" customWidth="1"/>
    <col min="55" max="55" width="10.42578125" style="61" bestFit="1" customWidth="1"/>
    <col min="56" max="56" width="8.140625" style="61" bestFit="1" customWidth="1"/>
    <col min="57" max="57" width="12.140625" style="61" bestFit="1" customWidth="1"/>
    <col min="58" max="58" width="11.7109375" style="61" bestFit="1" customWidth="1"/>
    <col min="59" max="60" width="11.140625" style="61" bestFit="1" customWidth="1"/>
    <col min="61" max="61" width="3.7109375" style="61" customWidth="1"/>
    <col min="62" max="62" width="10.5703125" style="61" bestFit="1" customWidth="1"/>
    <col min="63" max="63" width="7.85546875" style="61" bestFit="1" customWidth="1"/>
    <col min="64" max="64" width="10.42578125" style="61" bestFit="1" customWidth="1"/>
    <col min="65" max="65" width="8.140625" style="61" bestFit="1" customWidth="1"/>
    <col min="66" max="66" width="12.140625" style="61" bestFit="1" customWidth="1"/>
    <col min="67" max="67" width="11.7109375" style="61" bestFit="1" customWidth="1"/>
    <col min="68" max="69" width="11.140625" style="61" bestFit="1" customWidth="1"/>
    <col min="70" max="70" width="3.7109375" style="61" customWidth="1"/>
    <col min="71" max="71" width="12.42578125" style="61" bestFit="1" customWidth="1"/>
    <col min="72" max="72" width="10.5703125" style="61" bestFit="1" customWidth="1"/>
    <col min="73" max="73" width="8.85546875" style="61" customWidth="1"/>
    <col min="74" max="74" width="10.28515625" style="61" bestFit="1" customWidth="1"/>
    <col min="75" max="75" width="7.85546875" style="61" bestFit="1" customWidth="1"/>
    <col min="76" max="76" width="10.42578125" style="61" bestFit="1" customWidth="1"/>
    <col min="77" max="77" width="8.140625" style="61" bestFit="1" customWidth="1"/>
    <col min="78" max="78" width="9.140625" style="61" bestFit="1"/>
    <col min="79" max="79" width="11.7109375" style="61" bestFit="1" customWidth="1"/>
    <col min="80" max="81" width="11.140625" style="61" bestFit="1" customWidth="1"/>
    <col min="82" max="82" width="11.140625" style="225" customWidth="1"/>
    <col min="83" max="83" width="11.28515625" style="61" bestFit="1" customWidth="1"/>
    <col min="84" max="84" width="3.7109375" style="61" customWidth="1"/>
    <col min="85" max="85" width="12.5703125" style="61" bestFit="1" customWidth="1"/>
    <col min="86" max="86" width="9.28515625" style="61" bestFit="1" customWidth="1"/>
    <col min="87" max="87" width="23.7109375" style="61" bestFit="1" customWidth="1"/>
    <col min="88" max="88" width="3.7109375" style="61" customWidth="1"/>
    <col min="89" max="89" width="12.42578125" style="61" bestFit="1" customWidth="1"/>
    <col min="90" max="90" width="10.5703125" style="61" bestFit="1" customWidth="1"/>
    <col min="91" max="91" width="8.85546875" style="61" customWidth="1"/>
    <col min="92" max="92" width="10.28515625" style="61" bestFit="1" customWidth="1"/>
    <col min="93" max="93" width="7.85546875" style="61" bestFit="1" customWidth="1"/>
    <col min="94" max="94" width="10.42578125" style="61" bestFit="1" customWidth="1"/>
    <col min="95" max="95" width="8.140625" style="61" bestFit="1" customWidth="1"/>
    <col min="96" max="96" width="9.140625" style="61" bestFit="1"/>
    <col min="97" max="97" width="11.7109375" style="61" bestFit="1" customWidth="1"/>
    <col min="98" max="99" width="11.140625" style="61" bestFit="1" customWidth="1"/>
    <col min="100" max="100" width="11.140625" style="225" customWidth="1"/>
    <col min="101" max="101" width="11.28515625" style="61" bestFit="1" customWidth="1"/>
    <col min="102" max="102" width="3.7109375" customWidth="1"/>
    <col min="103" max="103" width="1.7109375" customWidth="1"/>
    <col min="104" max="104" width="9.140625" style="61"/>
    <col min="105" max="105" width="1.7109375" style="61" customWidth="1"/>
    <col min="106" max="106" width="9.140625" style="61"/>
    <col min="107" max="107" width="1.7109375" style="61" customWidth="1"/>
    <col min="108" max="108" width="9.140625" style="61"/>
    <col min="109" max="109" width="1.7109375" style="61" customWidth="1"/>
    <col min="110" max="110" width="9.140625" style="61"/>
    <col min="111" max="111" width="1.7109375" style="61" customWidth="1"/>
    <col min="112" max="112" width="9.140625" style="61"/>
    <col min="113" max="113" width="1.7109375" style="61" customWidth="1"/>
    <col min="114" max="114" width="9.140625" style="61"/>
    <col min="115" max="115" width="1.7109375" style="61" customWidth="1"/>
    <col min="116" max="116" width="9.140625" style="61"/>
    <col min="117" max="117" width="1.7109375" style="61" customWidth="1"/>
    <col min="118" max="118" width="9.140625" style="61"/>
    <col min="119" max="119" width="1.7109375" style="61" customWidth="1"/>
    <col min="120" max="120" width="9.140625" style="61"/>
    <col min="121" max="121" width="1.7109375" style="61" customWidth="1"/>
    <col min="122" max="122" width="9.140625" style="61"/>
    <col min="123" max="123" width="1.7109375" style="61" customWidth="1"/>
    <col min="124" max="124" width="9.140625" style="61"/>
    <col min="125" max="125" width="1.7109375" style="61" customWidth="1"/>
    <col min="126" max="126" width="9.140625" style="61"/>
    <col min="127" max="127" width="1.7109375" style="61" customWidth="1"/>
    <col min="128" max="128" width="9.140625" style="61"/>
    <col min="129" max="129" width="1.7109375" style="61" customWidth="1"/>
    <col min="130" max="130" width="9.140625" style="61"/>
    <col min="131" max="131" width="1.7109375" style="61" customWidth="1"/>
    <col min="132" max="132" width="9.140625" style="61"/>
    <col min="133" max="133" width="1.7109375" style="61" customWidth="1"/>
    <col min="134" max="134" width="9.140625" style="61"/>
    <col min="135" max="136" width="4.7109375" customWidth="1"/>
    <col min="137" max="137" width="8.140625" style="61" bestFit="1" customWidth="1"/>
    <col min="138" max="138" width="10.28515625" style="61" bestFit="1" customWidth="1"/>
    <col min="139" max="140" width="10.28515625" style="61" customWidth="1"/>
    <col min="141" max="141" width="10.28515625" style="121" customWidth="1"/>
    <col min="142" max="143" width="10.28515625" style="61" customWidth="1"/>
    <col min="144" max="144" width="10.28515625" style="121" customWidth="1"/>
    <col min="145" max="146" width="10.28515625" style="61" customWidth="1"/>
    <col min="147" max="147" width="10.28515625" style="121" customWidth="1"/>
    <col min="148" max="149" width="10.28515625" style="61" customWidth="1"/>
    <col min="150" max="150" width="10.28515625" style="121" customWidth="1"/>
    <col min="151" max="151" width="13.140625" style="61" customWidth="1"/>
    <col min="152" max="152" width="13.140625" style="199" customWidth="1"/>
    <col min="153" max="153" width="12" style="61" bestFit="1" customWidth="1"/>
    <col min="154" max="154" width="12" style="200" customWidth="1"/>
    <col min="155" max="155" width="10.42578125" style="61" bestFit="1" customWidth="1"/>
    <col min="156" max="156" width="10.7109375" style="61" bestFit="1" customWidth="1"/>
    <col min="157" max="157" width="9.140625" style="61"/>
    <col min="158" max="158" width="11.7109375" style="61" bestFit="1" customWidth="1"/>
    <col min="159" max="159" width="12.42578125" style="61" bestFit="1" customWidth="1"/>
    <col min="160" max="160" width="12.5703125" style="61" bestFit="1" customWidth="1"/>
    <col min="161" max="161" width="12" bestFit="1" customWidth="1"/>
    <col min="162" max="163" width="12" style="228" customWidth="1"/>
    <col min="164" max="164" width="11.140625" bestFit="1" customWidth="1"/>
    <col min="165" max="166" width="4.7109375" customWidth="1"/>
    <col min="167" max="167" width="11.140625" customWidth="1"/>
    <col min="168" max="168" width="10.42578125" customWidth="1"/>
    <col min="169" max="169" width="10.5703125" bestFit="1" customWidth="1"/>
    <col min="170" max="170" width="10.42578125" customWidth="1"/>
    <col min="171" max="171" width="11.28515625" customWidth="1"/>
    <col min="172" max="172" width="10.42578125" customWidth="1"/>
    <col min="173" max="173" width="11" customWidth="1"/>
    <col min="174" max="174" width="9.42578125" customWidth="1"/>
    <col min="175" max="175" width="11.28515625" customWidth="1"/>
    <col min="176" max="176" width="10.42578125" customWidth="1"/>
    <col min="177" max="177" width="10.7109375" customWidth="1"/>
    <col min="178" max="178" width="10.42578125" customWidth="1"/>
    <col min="179" max="179" width="11.7109375" customWidth="1"/>
    <col min="180" max="180" width="11.5703125" style="228" bestFit="1" customWidth="1"/>
    <col min="181" max="191" width="11.7109375" customWidth="1"/>
  </cols>
  <sheetData>
    <row r="1" spans="1:186">
      <c r="A1" s="140"/>
      <c r="B1" s="145" t="str">
        <f>'Input Sheet'!B1</f>
        <v>Form TR-01, Revised 3/10/15</v>
      </c>
      <c r="CZ1" s="296" t="s">
        <v>145</v>
      </c>
      <c r="DA1" s="296"/>
      <c r="DB1" s="296"/>
      <c r="DC1" s="296"/>
      <c r="DD1" s="296"/>
      <c r="DE1" s="296"/>
      <c r="DF1" s="296"/>
      <c r="DG1" s="296"/>
      <c r="DH1" s="296"/>
      <c r="DI1" s="296"/>
      <c r="DJ1" s="296"/>
      <c r="DK1" s="296"/>
      <c r="DL1" s="296"/>
      <c r="DM1" s="296"/>
      <c r="DN1" s="296"/>
      <c r="DO1" s="296"/>
      <c r="DP1" s="296"/>
      <c r="DQ1" s="296"/>
      <c r="DR1" s="296"/>
      <c r="DS1" s="296"/>
      <c r="DT1" s="296"/>
      <c r="DU1" s="296"/>
      <c r="DV1" s="296"/>
      <c r="DW1" s="296"/>
      <c r="DX1" s="296"/>
      <c r="DY1" s="296"/>
      <c r="DZ1" s="296"/>
      <c r="EA1" s="296"/>
      <c r="EB1" s="296"/>
      <c r="EC1" s="296"/>
      <c r="ED1" s="296"/>
    </row>
    <row r="4" spans="1:186">
      <c r="DB4" s="61">
        <v>475</v>
      </c>
      <c r="DD4" s="61">
        <v>390</v>
      </c>
      <c r="DF4" s="61">
        <v>310</v>
      </c>
      <c r="DJ4" s="61">
        <v>332</v>
      </c>
      <c r="DL4" s="61">
        <v>275</v>
      </c>
      <c r="DN4" s="61">
        <v>223</v>
      </c>
      <c r="DR4" s="61">
        <v>600</v>
      </c>
      <c r="DT4" s="61">
        <v>510</v>
      </c>
      <c r="DV4" s="61">
        <v>450</v>
      </c>
      <c r="DZ4" s="61">
        <v>420</v>
      </c>
      <c r="EB4" s="61">
        <v>370</v>
      </c>
      <c r="ED4" s="61">
        <v>310</v>
      </c>
      <c r="EI4" s="61">
        <v>400</v>
      </c>
      <c r="EL4" s="61">
        <v>275</v>
      </c>
      <c r="EO4" s="61">
        <v>400</v>
      </c>
      <c r="ER4" s="61">
        <v>265</v>
      </c>
      <c r="FE4" s="61"/>
      <c r="FF4" s="227"/>
      <c r="FG4" s="227"/>
      <c r="FH4" s="61"/>
      <c r="FI4" s="61"/>
      <c r="FJ4" s="61"/>
    </row>
    <row r="5" spans="1:186">
      <c r="BT5" s="61" t="s">
        <v>144</v>
      </c>
      <c r="DB5" s="61">
        <v>470</v>
      </c>
      <c r="DD5" s="61">
        <v>400</v>
      </c>
      <c r="DF5" s="61">
        <v>390</v>
      </c>
      <c r="DJ5" s="61">
        <v>350</v>
      </c>
      <c r="DL5" s="61">
        <v>270</v>
      </c>
      <c r="DN5" s="61">
        <v>264</v>
      </c>
      <c r="DR5" s="61">
        <v>600</v>
      </c>
      <c r="DT5" s="61">
        <v>520</v>
      </c>
      <c r="DV5" s="61">
        <v>440</v>
      </c>
      <c r="DZ5" s="61">
        <v>430</v>
      </c>
      <c r="EB5" s="61">
        <v>360</v>
      </c>
      <c r="ED5" s="61">
        <v>340</v>
      </c>
      <c r="EH5" s="61" t="s">
        <v>144</v>
      </c>
      <c r="EI5" s="61">
        <v>107</v>
      </c>
      <c r="EL5" s="61">
        <v>75</v>
      </c>
      <c r="EO5" s="61">
        <v>133</v>
      </c>
      <c r="ER5" s="61">
        <v>93</v>
      </c>
      <c r="FE5" s="61"/>
      <c r="FF5" s="227"/>
      <c r="FG5" s="227"/>
      <c r="FH5" s="61"/>
      <c r="FI5" s="61"/>
      <c r="FJ5" s="61"/>
    </row>
    <row r="6" spans="1:186">
      <c r="BT6" s="61" t="str">
        <f>IF(OR('Pg 1'!N14="X",'Pg 1'!N16="X"),"Yes","No")</f>
        <v>Yes</v>
      </c>
      <c r="DB6" s="61">
        <v>115</v>
      </c>
      <c r="DD6" s="61">
        <v>80</v>
      </c>
      <c r="DF6" s="61">
        <v>80</v>
      </c>
      <c r="DJ6" s="61">
        <v>80</v>
      </c>
      <c r="DL6" s="61">
        <v>60</v>
      </c>
      <c r="DN6" s="61">
        <v>60</v>
      </c>
      <c r="DR6" s="61">
        <v>150</v>
      </c>
      <c r="DT6" s="61">
        <v>100</v>
      </c>
      <c r="DV6" s="61">
        <v>100</v>
      </c>
      <c r="DZ6" s="61">
        <v>100</v>
      </c>
      <c r="EB6" s="61">
        <v>75</v>
      </c>
      <c r="ED6" s="61">
        <v>75</v>
      </c>
      <c r="EH6" s="61" t="str">
        <f>IF(AND(AA31&gt;W31,'Input Sheet'!M16&gt;35),"Yes",IF(AND(W31&gt;AA31,'Input Sheet'!M9&gt;35),"Yes","No"))</f>
        <v>No</v>
      </c>
      <c r="EI6" s="61">
        <v>1100</v>
      </c>
      <c r="EL6" s="61">
        <v>775</v>
      </c>
      <c r="EO6" s="61">
        <v>1500</v>
      </c>
      <c r="ER6" s="61">
        <v>1050</v>
      </c>
      <c r="FE6" s="61"/>
      <c r="FF6" s="227"/>
      <c r="FG6" s="227"/>
      <c r="FH6" s="61"/>
      <c r="FI6" s="61"/>
      <c r="FJ6" s="61"/>
    </row>
    <row r="7" spans="1:186">
      <c r="EU7" s="61">
        <f>IF($EG18=0,-9999,IF($EH$6="No",IF(EI18="N/A",-9999,$EH18-EI18),IF(EL18="N/A",-9999,$EH18-EL18)))</f>
        <v>-9999</v>
      </c>
      <c r="FE7" s="61"/>
      <c r="FF7" s="227"/>
      <c r="FG7" s="227"/>
    </row>
    <row r="8" spans="1:186">
      <c r="BT8" s="61" t="s">
        <v>228</v>
      </c>
      <c r="DB8" s="61">
        <v>1300</v>
      </c>
      <c r="DD8" s="61">
        <v>1350</v>
      </c>
      <c r="DF8" s="61">
        <v>1150</v>
      </c>
      <c r="DJ8" s="61">
        <v>900</v>
      </c>
      <c r="DL8" s="61">
        <v>930</v>
      </c>
      <c r="DN8" s="61">
        <v>780</v>
      </c>
      <c r="DR8" s="61">
        <v>1670</v>
      </c>
      <c r="DT8" s="61">
        <v>1700</v>
      </c>
      <c r="DV8" s="61">
        <v>1500</v>
      </c>
      <c r="DZ8" s="61">
        <v>1200</v>
      </c>
      <c r="EB8" s="61">
        <v>1190</v>
      </c>
      <c r="ED8" s="61">
        <v>1000</v>
      </c>
      <c r="FI8" s="61"/>
    </row>
    <row r="9" spans="1:186">
      <c r="BT9" s="61" t="s">
        <v>143</v>
      </c>
      <c r="DB9" s="61">
        <f>(DB6/DB4)^(1/(DB8-DB5))</f>
        <v>0.99829256453933757</v>
      </c>
      <c r="DD9" s="61">
        <f>(DD6/DD4)^(1/(DD8-DD5))</f>
        <v>0.99833389465030908</v>
      </c>
      <c r="DF9" s="61">
        <f>(DF6/DF4)^(1.02/(DF8-DF5))</f>
        <v>0.99818370859398509</v>
      </c>
      <c r="DJ9" s="61">
        <f>(DJ6/DJ4)^(1/(DJ8-DJ5))</f>
        <v>0.99741587491577965</v>
      </c>
      <c r="DL9" s="61">
        <f>(DL6/DL4)^(1/(DL8-DL5))</f>
        <v>0.99769595153196522</v>
      </c>
      <c r="DN9" s="61">
        <f>(DN6/DN4)^(1/(DN8-DN5))</f>
        <v>0.9974589950547571</v>
      </c>
      <c r="DR9" s="61">
        <f>(DR6/DR4)^(0.95/(DR8-DR5))</f>
        <v>0.99876993505452383</v>
      </c>
      <c r="DT9" s="61">
        <f>(DT6/DT4)^(0.87/(DT8-DT5))</f>
        <v>0.99879950145564478</v>
      </c>
      <c r="DV9" s="61">
        <f>(DV6/DV4)^(0.99/(DV8-DV5))</f>
        <v>0.99859623467063696</v>
      </c>
      <c r="DZ9" s="61">
        <f>(DZ6/DZ4)^(1/(DZ8-DZ5))</f>
        <v>0.99813798955962518</v>
      </c>
      <c r="EB9" s="61">
        <f>(EB6/EB4)^(0.95/(EB8-EB5))</f>
        <v>0.9981749034847458</v>
      </c>
      <c r="ED9" s="61">
        <f>(ED6/ED4)^(1/(ED8-ED5))</f>
        <v>0.99785218231701456</v>
      </c>
      <c r="FE9" s="61"/>
      <c r="FF9" s="227"/>
      <c r="FG9" s="227"/>
    </row>
    <row r="10" spans="1:186">
      <c r="BT10" s="61">
        <f>IF(OR(SUM(U18:U30)=0,SUM(V18:V30)=0,SUM(Y18:Y30)=0,SUM(Z18:Z30)=0),3,4)</f>
        <v>3</v>
      </c>
      <c r="FE10" s="61"/>
      <c r="FF10" s="227"/>
      <c r="FG10" s="227"/>
    </row>
    <row r="11" spans="1:186">
      <c r="CZ11" s="31" t="s">
        <v>146</v>
      </c>
      <c r="DA11" s="31"/>
      <c r="DB11" s="31"/>
      <c r="DC11" s="31"/>
      <c r="DD11" s="31"/>
      <c r="DE11" s="31"/>
      <c r="DF11" s="31"/>
      <c r="DH11" s="389" t="s">
        <v>146</v>
      </c>
      <c r="DI11" s="389"/>
      <c r="DJ11" s="389"/>
      <c r="DK11" s="389"/>
      <c r="DL11" s="389"/>
      <c r="DM11" s="389"/>
      <c r="DN11" s="389"/>
      <c r="DP11" s="389" t="s">
        <v>147</v>
      </c>
      <c r="DQ11" s="389"/>
      <c r="DR11" s="389"/>
      <c r="DS11" s="389"/>
      <c r="DT11" s="389"/>
      <c r="DU11" s="389"/>
      <c r="DV11" s="389"/>
      <c r="DX11" s="389" t="s">
        <v>148</v>
      </c>
      <c r="DY11" s="389"/>
      <c r="DZ11" s="389"/>
      <c r="EA11" s="389"/>
      <c r="EB11" s="389"/>
      <c r="EC11" s="389"/>
      <c r="ED11" s="389"/>
      <c r="FE11" s="31"/>
      <c r="FF11" s="31"/>
      <c r="FG11" s="31"/>
    </row>
    <row r="12" spans="1:186">
      <c r="CZ12" s="31" t="s">
        <v>149</v>
      </c>
      <c r="DA12" s="31"/>
      <c r="DB12" s="31"/>
      <c r="DC12" s="31"/>
      <c r="DD12" s="31"/>
      <c r="DE12" s="31"/>
      <c r="DF12" s="31"/>
      <c r="DH12" s="389" t="s">
        <v>150</v>
      </c>
      <c r="DI12" s="389"/>
      <c r="DJ12" s="389"/>
      <c r="DK12" s="389"/>
      <c r="DL12" s="389"/>
      <c r="DM12" s="389"/>
      <c r="DN12" s="389"/>
      <c r="DP12" s="389" t="s">
        <v>149</v>
      </c>
      <c r="DQ12" s="389"/>
      <c r="DR12" s="389"/>
      <c r="DS12" s="389"/>
      <c r="DT12" s="389"/>
      <c r="DU12" s="389"/>
      <c r="DV12" s="389"/>
      <c r="DX12" s="389" t="s">
        <v>150</v>
      </c>
      <c r="DY12" s="389"/>
      <c r="DZ12" s="389"/>
      <c r="EA12" s="389"/>
      <c r="EB12" s="389"/>
      <c r="EC12" s="389"/>
      <c r="ED12" s="389"/>
      <c r="FE12" s="31"/>
      <c r="FF12" s="31"/>
      <c r="FG12" s="31"/>
      <c r="FK12" s="411" t="s">
        <v>393</v>
      </c>
      <c r="FL12" s="296"/>
      <c r="FM12" s="296"/>
      <c r="FN12" s="296"/>
      <c r="FO12" s="296"/>
      <c r="FP12" s="296"/>
      <c r="FQ12" s="296"/>
      <c r="FR12" s="296"/>
      <c r="FS12" s="296"/>
      <c r="FT12" s="296"/>
      <c r="FU12" s="296"/>
      <c r="FV12" s="296"/>
      <c r="FW12" s="296"/>
      <c r="FX12" s="296"/>
      <c r="FY12" s="296"/>
    </row>
    <row r="13" spans="1:186">
      <c r="FE13" s="61"/>
      <c r="FF13" s="227"/>
      <c r="FG13" s="227"/>
      <c r="FL13" s="159" t="s">
        <v>115</v>
      </c>
    </row>
    <row r="14" spans="1:186">
      <c r="C14" s="54"/>
      <c r="D14" s="415" t="s">
        <v>130</v>
      </c>
      <c r="E14" s="415"/>
      <c r="F14" s="415"/>
      <c r="G14" s="415"/>
      <c r="H14" s="415"/>
      <c r="I14" s="415"/>
      <c r="J14" s="415"/>
      <c r="K14" s="415"/>
      <c r="L14" s="415"/>
      <c r="M14" s="415"/>
      <c r="N14" s="415"/>
      <c r="O14" s="415"/>
      <c r="P14" s="415"/>
      <c r="Q14" s="415"/>
      <c r="R14" s="415"/>
      <c r="S14" s="416"/>
      <c r="AI14" s="296" t="s">
        <v>195</v>
      </c>
      <c r="AJ14" s="296"/>
      <c r="AK14" s="296"/>
      <c r="AL14" s="296"/>
      <c r="AM14" s="296"/>
      <c r="AN14" s="296"/>
      <c r="AO14" s="296"/>
      <c r="AP14" s="296"/>
      <c r="AR14" s="296" t="s">
        <v>216</v>
      </c>
      <c r="AS14" s="296"/>
      <c r="AT14" s="296"/>
      <c r="AU14" s="296"/>
      <c r="AV14" s="296"/>
      <c r="AW14" s="296"/>
      <c r="AX14" s="296"/>
      <c r="AY14" s="296"/>
      <c r="BA14" s="296" t="s">
        <v>218</v>
      </c>
      <c r="BB14" s="296"/>
      <c r="BC14" s="296"/>
      <c r="BD14" s="296"/>
      <c r="BE14" s="296"/>
      <c r="BF14" s="296"/>
      <c r="BG14" s="296"/>
      <c r="BH14" s="296"/>
      <c r="BJ14" s="296" t="s">
        <v>220</v>
      </c>
      <c r="BK14" s="296"/>
      <c r="BL14" s="296"/>
      <c r="BM14" s="296"/>
      <c r="BN14" s="296"/>
      <c r="BO14" s="296"/>
      <c r="BP14" s="296"/>
      <c r="BQ14" s="296"/>
      <c r="BS14" s="296" t="s">
        <v>222</v>
      </c>
      <c r="BT14" s="296"/>
      <c r="BU14" s="296"/>
      <c r="BV14" s="296"/>
      <c r="BW14" s="296"/>
      <c r="BX14" s="296"/>
      <c r="BY14" s="296"/>
      <c r="BZ14" s="296"/>
      <c r="CA14" s="296"/>
      <c r="CB14" s="296"/>
      <c r="CC14" s="296"/>
      <c r="CD14" s="296"/>
      <c r="CE14" s="296"/>
      <c r="CG14" s="296" t="s">
        <v>229</v>
      </c>
      <c r="CH14" s="296"/>
      <c r="CI14" s="296"/>
      <c r="CK14" s="296" t="s">
        <v>242</v>
      </c>
      <c r="CL14" s="296"/>
      <c r="CM14" s="296"/>
      <c r="CN14" s="296"/>
      <c r="CO14" s="296"/>
      <c r="CP14" s="296"/>
      <c r="CQ14" s="296"/>
      <c r="CR14" s="296"/>
      <c r="CS14" s="296"/>
      <c r="CT14" s="296"/>
      <c r="CU14" s="296"/>
      <c r="CV14" s="296"/>
      <c r="CW14" s="296"/>
      <c r="CZ14" s="61">
        <f>IF($BT$6="Yes",0,IF($BT$6="No",1,0))</f>
        <v>0</v>
      </c>
      <c r="DB14" s="31" t="s">
        <v>151</v>
      </c>
      <c r="DC14" s="31"/>
      <c r="DD14" s="31"/>
      <c r="DE14" s="31"/>
      <c r="DF14" s="31"/>
      <c r="DH14" s="61">
        <f>IF(BT6="Yes",1,IF(BT6="No",0,"N/A"))</f>
        <v>1</v>
      </c>
      <c r="DJ14" s="389" t="s">
        <v>151</v>
      </c>
      <c r="DK14" s="389"/>
      <c r="DL14" s="389"/>
      <c r="DM14" s="389"/>
      <c r="DN14" s="389"/>
      <c r="DP14" s="61">
        <f>IF(BT6="Yes",0,IF(BT6="No",1,0))</f>
        <v>0</v>
      </c>
      <c r="DR14" s="389" t="s">
        <v>151</v>
      </c>
      <c r="DS14" s="389"/>
      <c r="DT14" s="389"/>
      <c r="DU14" s="389"/>
      <c r="DV14" s="389"/>
      <c r="DX14" s="61">
        <f>IF(BT6="Yes",1,IF(BT6="No",0,"N/A"))</f>
        <v>1</v>
      </c>
      <c r="DZ14" s="389" t="s">
        <v>151</v>
      </c>
      <c r="EA14" s="389"/>
      <c r="EB14" s="389"/>
      <c r="EC14" s="389"/>
      <c r="ED14" s="389"/>
      <c r="EG14" s="296" t="s">
        <v>260</v>
      </c>
      <c r="EH14" s="296"/>
      <c r="EI14" s="296"/>
      <c r="EJ14" s="296"/>
      <c r="EK14" s="296"/>
      <c r="EL14" s="296"/>
      <c r="EM14" s="296"/>
      <c r="EN14" s="296"/>
      <c r="EO14" s="296"/>
      <c r="EP14" s="296"/>
      <c r="EQ14" s="296"/>
      <c r="ER14" s="296"/>
      <c r="ES14" s="296"/>
      <c r="ET14" s="296"/>
      <c r="EU14" s="296"/>
      <c r="EV14" s="296"/>
      <c r="EW14" s="296"/>
      <c r="EX14" s="296"/>
      <c r="EY14" s="296"/>
      <c r="EZ14" s="296"/>
      <c r="FA14" s="296"/>
      <c r="FB14" s="296"/>
      <c r="FC14" s="296"/>
      <c r="FD14" s="296"/>
      <c r="FE14" s="296"/>
      <c r="FF14" s="296"/>
      <c r="FG14" s="296"/>
      <c r="FH14" s="296"/>
      <c r="FL14" s="194" t="s">
        <v>246</v>
      </c>
      <c r="FM14" s="159" t="s">
        <v>388</v>
      </c>
    </row>
    <row r="15" spans="1:186" ht="13.5" customHeight="1">
      <c r="C15" s="43"/>
      <c r="D15" s="3"/>
      <c r="E15" s="3"/>
      <c r="F15" s="3"/>
      <c r="G15" s="3"/>
      <c r="H15" s="3"/>
      <c r="I15" s="3"/>
      <c r="J15" s="3"/>
      <c r="K15" s="3"/>
      <c r="L15" s="3"/>
      <c r="M15" s="3"/>
      <c r="N15" s="3"/>
      <c r="O15" s="3"/>
      <c r="P15" s="3"/>
      <c r="Q15" s="3"/>
      <c r="R15" s="3"/>
      <c r="S15" s="55"/>
      <c r="AE15"/>
      <c r="AF15"/>
      <c r="AG15"/>
      <c r="AH15"/>
      <c r="AI15" s="61" t="s">
        <v>196</v>
      </c>
      <c r="AJ15" s="61" t="s">
        <v>197</v>
      </c>
      <c r="AK15" s="61" t="s">
        <v>198</v>
      </c>
      <c r="AL15" s="61" t="s">
        <v>199</v>
      </c>
      <c r="AM15" s="61" t="s">
        <v>200</v>
      </c>
      <c r="AQ15"/>
      <c r="AR15" t="s">
        <v>196</v>
      </c>
      <c r="AS15" t="s">
        <v>197</v>
      </c>
      <c r="AT15" t="s">
        <v>198</v>
      </c>
      <c r="AU15" t="s">
        <v>199</v>
      </c>
      <c r="AV15" t="s">
        <v>200</v>
      </c>
      <c r="AW15"/>
      <c r="AX15"/>
      <c r="AY15"/>
      <c r="AZ15"/>
      <c r="BA15" s="61" t="s">
        <v>196</v>
      </c>
      <c r="BB15" s="61" t="s">
        <v>197</v>
      </c>
      <c r="BC15" s="61" t="s">
        <v>198</v>
      </c>
      <c r="BD15" s="61" t="s">
        <v>199</v>
      </c>
      <c r="BE15" s="61" t="s">
        <v>200</v>
      </c>
      <c r="BJ15" s="61" t="s">
        <v>196</v>
      </c>
      <c r="BK15" s="61" t="s">
        <v>197</v>
      </c>
      <c r="BL15" s="61" t="s">
        <v>198</v>
      </c>
      <c r="BM15" s="61" t="s">
        <v>199</v>
      </c>
      <c r="BN15" s="61" t="s">
        <v>200</v>
      </c>
      <c r="BV15" s="61" t="s">
        <v>196</v>
      </c>
      <c r="BW15" s="61" t="s">
        <v>197</v>
      </c>
      <c r="BX15" s="61" t="s">
        <v>198</v>
      </c>
      <c r="BY15" s="61" t="s">
        <v>199</v>
      </c>
      <c r="BZ15" s="61" t="s">
        <v>200</v>
      </c>
      <c r="CE15" s="225" t="s">
        <v>399</v>
      </c>
      <c r="CH15" s="61" t="s">
        <v>196</v>
      </c>
      <c r="CN15" s="61" t="s">
        <v>196</v>
      </c>
      <c r="CO15" s="61" t="s">
        <v>197</v>
      </c>
      <c r="CP15" s="61" t="s">
        <v>198</v>
      </c>
      <c r="CQ15" s="61" t="s">
        <v>199</v>
      </c>
      <c r="CR15" s="61" t="s">
        <v>200</v>
      </c>
      <c r="CW15" s="225" t="s">
        <v>399</v>
      </c>
      <c r="EG15" s="61" t="s">
        <v>114</v>
      </c>
      <c r="EH15" s="61" t="s">
        <v>245</v>
      </c>
      <c r="EI15" s="105" t="s">
        <v>290</v>
      </c>
      <c r="EK15" s="123" t="s">
        <v>288</v>
      </c>
      <c r="EL15" s="105" t="s">
        <v>289</v>
      </c>
      <c r="EN15" s="123" t="s">
        <v>281</v>
      </c>
      <c r="EO15" s="105" t="s">
        <v>291</v>
      </c>
      <c r="EQ15" s="123" t="s">
        <v>288</v>
      </c>
      <c r="ER15" s="105" t="s">
        <v>292</v>
      </c>
      <c r="ET15" s="123" t="s">
        <v>281</v>
      </c>
      <c r="EU15" s="199" t="s">
        <v>196</v>
      </c>
      <c r="EV15" s="199" t="s">
        <v>196</v>
      </c>
      <c r="EY15" s="61" t="s">
        <v>198</v>
      </c>
      <c r="FA15" s="61" t="s">
        <v>200</v>
      </c>
      <c r="FD15" s="105" t="s">
        <v>279</v>
      </c>
      <c r="FE15" s="105" t="s">
        <v>279</v>
      </c>
      <c r="FF15" s="105" t="s">
        <v>279</v>
      </c>
      <c r="FG15" s="229" t="s">
        <v>279</v>
      </c>
      <c r="FH15" s="229" t="s">
        <v>279</v>
      </c>
      <c r="FK15" s="158" t="s">
        <v>114</v>
      </c>
      <c r="FL15" s="194" t="s">
        <v>385</v>
      </c>
      <c r="FM15" s="159" t="s">
        <v>115</v>
      </c>
      <c r="FN15" s="196" t="s">
        <v>391</v>
      </c>
      <c r="FO15" s="196" t="s">
        <v>391</v>
      </c>
      <c r="FP15" s="196" t="s">
        <v>196</v>
      </c>
      <c r="FQ15" s="196" t="s">
        <v>197</v>
      </c>
      <c r="FR15" s="196" t="s">
        <v>198</v>
      </c>
      <c r="FS15" s="196" t="s">
        <v>199</v>
      </c>
      <c r="FT15" s="196" t="s">
        <v>200</v>
      </c>
      <c r="FU15" s="196"/>
      <c r="FW15" s="196" t="s">
        <v>279</v>
      </c>
      <c r="FX15" s="227" t="s">
        <v>279</v>
      </c>
      <c r="FY15" s="196"/>
      <c r="FZ15" s="196"/>
      <c r="GA15" s="196"/>
      <c r="GB15" s="196"/>
      <c r="GC15" s="198"/>
      <c r="GD15" s="198"/>
    </row>
    <row r="16" spans="1:186">
      <c r="C16" s="43"/>
      <c r="D16" s="302" t="s">
        <v>23</v>
      </c>
      <c r="E16" s="302"/>
      <c r="F16" s="302"/>
      <c r="G16" s="302"/>
      <c r="H16" s="302" t="s">
        <v>24</v>
      </c>
      <c r="I16" s="302"/>
      <c r="J16" s="302"/>
      <c r="K16" s="302"/>
      <c r="L16" s="302" t="s">
        <v>25</v>
      </c>
      <c r="M16" s="302"/>
      <c r="N16" s="302"/>
      <c r="O16" s="302"/>
      <c r="P16" s="302" t="s">
        <v>26</v>
      </c>
      <c r="Q16" s="302"/>
      <c r="R16" s="302"/>
      <c r="S16" s="376"/>
      <c r="U16" s="414" t="s">
        <v>131</v>
      </c>
      <c r="V16" s="415"/>
      <c r="W16" s="415"/>
      <c r="X16" s="415"/>
      <c r="Y16" s="415"/>
      <c r="Z16" s="415"/>
      <c r="AA16" s="415"/>
      <c r="AB16" s="415"/>
      <c r="AC16" s="416"/>
      <c r="AD16" s="57"/>
      <c r="AE16" s="61" t="s">
        <v>156</v>
      </c>
      <c r="AF16" s="61" t="s">
        <v>166</v>
      </c>
      <c r="AG16" s="61" t="s">
        <v>194</v>
      </c>
      <c r="AI16" s="61" t="s">
        <v>201</v>
      </c>
      <c r="AJ16" s="61" t="s">
        <v>202</v>
      </c>
      <c r="AK16" s="61" t="s">
        <v>203</v>
      </c>
      <c r="AL16" s="61" t="s">
        <v>204</v>
      </c>
      <c r="AM16" s="61" t="s">
        <v>205</v>
      </c>
      <c r="AR16" s="61" t="s">
        <v>201</v>
      </c>
      <c r="AS16" s="61" t="s">
        <v>202</v>
      </c>
      <c r="AT16" s="61" t="s">
        <v>203</v>
      </c>
      <c r="AU16" s="61" t="s">
        <v>204</v>
      </c>
      <c r="AV16" s="61" t="s">
        <v>205</v>
      </c>
      <c r="BA16" s="61" t="s">
        <v>201</v>
      </c>
      <c r="BB16" s="61" t="s">
        <v>202</v>
      </c>
      <c r="BC16" s="61" t="s">
        <v>203</v>
      </c>
      <c r="BD16" s="61" t="s">
        <v>204</v>
      </c>
      <c r="BE16" s="61" t="s">
        <v>205</v>
      </c>
      <c r="BJ16" s="61" t="s">
        <v>201</v>
      </c>
      <c r="BK16" s="61" t="s">
        <v>202</v>
      </c>
      <c r="BL16" s="61" t="s">
        <v>203</v>
      </c>
      <c r="BM16" s="61" t="s">
        <v>204</v>
      </c>
      <c r="BN16" s="61" t="s">
        <v>205</v>
      </c>
      <c r="BV16" s="61" t="s">
        <v>201</v>
      </c>
      <c r="BW16" s="61" t="s">
        <v>202</v>
      </c>
      <c r="BX16" s="61" t="s">
        <v>203</v>
      </c>
      <c r="BY16" s="61" t="s">
        <v>204</v>
      </c>
      <c r="BZ16" s="61" t="s">
        <v>205</v>
      </c>
      <c r="CE16" s="225" t="s">
        <v>400</v>
      </c>
      <c r="CH16" s="61" t="s">
        <v>201</v>
      </c>
      <c r="CI16" s="61" t="s">
        <v>230</v>
      </c>
      <c r="CN16" s="61" t="s">
        <v>201</v>
      </c>
      <c r="CO16" s="61" t="s">
        <v>202</v>
      </c>
      <c r="CP16" s="61" t="s">
        <v>203</v>
      </c>
      <c r="CQ16" s="61" t="s">
        <v>204</v>
      </c>
      <c r="CR16" s="61" t="s">
        <v>205</v>
      </c>
      <c r="CW16" s="225" t="s">
        <v>400</v>
      </c>
      <c r="CZ16" s="61" t="s">
        <v>152</v>
      </c>
      <c r="DB16" s="61" t="s">
        <v>153</v>
      </c>
      <c r="DD16" s="61" t="s">
        <v>154</v>
      </c>
      <c r="DF16" s="61" t="s">
        <v>155</v>
      </c>
      <c r="DH16" s="61" t="s">
        <v>156</v>
      </c>
      <c r="DJ16" s="61" t="s">
        <v>153</v>
      </c>
      <c r="DL16" s="61" t="s">
        <v>154</v>
      </c>
      <c r="DN16" s="61" t="s">
        <v>155</v>
      </c>
      <c r="DP16" s="61" t="s">
        <v>156</v>
      </c>
      <c r="DR16" s="61" t="s">
        <v>153</v>
      </c>
      <c r="DT16" s="61" t="s">
        <v>154</v>
      </c>
      <c r="DV16" s="61" t="s">
        <v>155</v>
      </c>
      <c r="DX16" s="61" t="s">
        <v>156</v>
      </c>
      <c r="DZ16" s="61" t="s">
        <v>153</v>
      </c>
      <c r="EB16" s="61" t="s">
        <v>154</v>
      </c>
      <c r="ED16" s="61" t="s">
        <v>155</v>
      </c>
      <c r="EG16" s="61" t="s">
        <v>246</v>
      </c>
      <c r="EH16" s="61" t="s">
        <v>247</v>
      </c>
      <c r="EI16" s="105" t="s">
        <v>288</v>
      </c>
      <c r="EJ16" s="105" t="s">
        <v>288</v>
      </c>
      <c r="EK16" s="121" t="s">
        <v>310</v>
      </c>
      <c r="EL16" s="105" t="s">
        <v>281</v>
      </c>
      <c r="EM16" s="105" t="s">
        <v>281</v>
      </c>
      <c r="EN16" s="121" t="s">
        <v>310</v>
      </c>
      <c r="EO16" s="105" t="s">
        <v>288</v>
      </c>
      <c r="EP16" s="105" t="s">
        <v>288</v>
      </c>
      <c r="EQ16" s="121" t="s">
        <v>312</v>
      </c>
      <c r="ER16" s="105" t="s">
        <v>281</v>
      </c>
      <c r="ES16" s="105" t="s">
        <v>281</v>
      </c>
      <c r="ET16" s="121" t="s">
        <v>312</v>
      </c>
      <c r="EU16" s="199" t="s">
        <v>201</v>
      </c>
      <c r="EV16" s="199" t="s">
        <v>201</v>
      </c>
      <c r="EW16" s="61" t="s">
        <v>248</v>
      </c>
      <c r="EX16" s="200" t="s">
        <v>248</v>
      </c>
      <c r="EY16" s="61" t="s">
        <v>203</v>
      </c>
      <c r="EZ16" s="61" t="s">
        <v>249</v>
      </c>
      <c r="FA16" s="61" t="s">
        <v>205</v>
      </c>
      <c r="FD16" s="105" t="s">
        <v>280</v>
      </c>
      <c r="FE16" s="105" t="s">
        <v>294</v>
      </c>
      <c r="FF16" s="105" t="s">
        <v>296</v>
      </c>
      <c r="FG16" s="229" t="s">
        <v>400</v>
      </c>
      <c r="FH16" s="229" t="s">
        <v>400</v>
      </c>
      <c r="FI16" s="105"/>
      <c r="FK16" s="158" t="s">
        <v>246</v>
      </c>
      <c r="FL16" s="194" t="s">
        <v>247</v>
      </c>
      <c r="FM16" s="194" t="s">
        <v>246</v>
      </c>
      <c r="FN16" s="196">
        <v>9</v>
      </c>
      <c r="FO16" s="196">
        <v>9</v>
      </c>
      <c r="FP16" s="196" t="s">
        <v>201</v>
      </c>
      <c r="FQ16" s="196" t="s">
        <v>202</v>
      </c>
      <c r="FR16" s="196" t="s">
        <v>203</v>
      </c>
      <c r="FS16" s="196" t="s">
        <v>204</v>
      </c>
      <c r="FT16" s="196" t="s">
        <v>205</v>
      </c>
      <c r="FU16" s="213" t="s">
        <v>396</v>
      </c>
      <c r="FV16" s="213" t="s">
        <v>279</v>
      </c>
      <c r="FW16" s="194" t="s">
        <v>167</v>
      </c>
      <c r="FX16" s="227" t="s">
        <v>400</v>
      </c>
      <c r="FY16" s="196" t="s">
        <v>279</v>
      </c>
      <c r="FZ16" s="196"/>
      <c r="GA16" s="196"/>
      <c r="GB16" s="196"/>
      <c r="GC16" s="198"/>
      <c r="GD16" s="198"/>
    </row>
    <row r="17" spans="1:186">
      <c r="C17" s="43"/>
      <c r="D17" s="3" t="s">
        <v>27</v>
      </c>
      <c r="E17" s="3" t="s">
        <v>28</v>
      </c>
      <c r="F17" s="3" t="s">
        <v>29</v>
      </c>
      <c r="G17" s="3" t="s">
        <v>30</v>
      </c>
      <c r="H17" s="3" t="s">
        <v>27</v>
      </c>
      <c r="I17" s="3" t="s">
        <v>28</v>
      </c>
      <c r="J17" s="3" t="s">
        <v>29</v>
      </c>
      <c r="K17" s="3" t="s">
        <v>30</v>
      </c>
      <c r="L17" s="3" t="s">
        <v>27</v>
      </c>
      <c r="M17" s="3" t="s">
        <v>28</v>
      </c>
      <c r="N17" s="3" t="s">
        <v>29</v>
      </c>
      <c r="O17" s="3" t="s">
        <v>30</v>
      </c>
      <c r="P17" s="3" t="s">
        <v>27</v>
      </c>
      <c r="Q17" s="3" t="s">
        <v>28</v>
      </c>
      <c r="R17" s="3" t="s">
        <v>29</v>
      </c>
      <c r="S17" s="55" t="s">
        <v>30</v>
      </c>
      <c r="U17" s="43" t="s">
        <v>132</v>
      </c>
      <c r="V17" s="3" t="s">
        <v>133</v>
      </c>
      <c r="W17" s="3" t="s">
        <v>134</v>
      </c>
      <c r="X17" s="3" t="s">
        <v>135</v>
      </c>
      <c r="Y17" s="3" t="s">
        <v>136</v>
      </c>
      <c r="Z17" s="3" t="s">
        <v>137</v>
      </c>
      <c r="AA17" s="3" t="s">
        <v>138</v>
      </c>
      <c r="AB17" s="3" t="s">
        <v>139</v>
      </c>
      <c r="AC17" s="55" t="s">
        <v>140</v>
      </c>
      <c r="AD17" s="3"/>
      <c r="AE17" s="61" t="s">
        <v>171</v>
      </c>
      <c r="AF17" s="61" t="s">
        <v>167</v>
      </c>
      <c r="AG17" s="61" t="s">
        <v>171</v>
      </c>
      <c r="AI17" s="61" t="s">
        <v>165</v>
      </c>
      <c r="AJ17" s="61" t="s">
        <v>206</v>
      </c>
      <c r="AK17" s="61" t="s">
        <v>207</v>
      </c>
      <c r="AL17" s="61" t="s">
        <v>206</v>
      </c>
      <c r="AM17" s="61" t="s">
        <v>208</v>
      </c>
      <c r="AN17" s="61" t="s">
        <v>168</v>
      </c>
      <c r="AO17" s="61" t="s">
        <v>169</v>
      </c>
      <c r="AP17" s="61" t="s">
        <v>170</v>
      </c>
      <c r="AR17" s="61" t="s">
        <v>165</v>
      </c>
      <c r="AS17" s="61" t="s">
        <v>206</v>
      </c>
      <c r="AT17" s="61" t="s">
        <v>207</v>
      </c>
      <c r="AU17" s="61" t="s">
        <v>206</v>
      </c>
      <c r="AV17" s="61" t="s">
        <v>217</v>
      </c>
      <c r="AW17" s="61" t="s">
        <v>168</v>
      </c>
      <c r="AX17" s="61" t="s">
        <v>169</v>
      </c>
      <c r="AY17" s="61" t="s">
        <v>170</v>
      </c>
      <c r="BA17" s="61" t="s">
        <v>165</v>
      </c>
      <c r="BB17" s="61" t="s">
        <v>206</v>
      </c>
      <c r="BC17" s="61" t="s">
        <v>207</v>
      </c>
      <c r="BD17" s="61" t="s">
        <v>206</v>
      </c>
      <c r="BE17" s="61" t="s">
        <v>219</v>
      </c>
      <c r="BF17" s="61" t="s">
        <v>168</v>
      </c>
      <c r="BG17" s="61" t="s">
        <v>169</v>
      </c>
      <c r="BH17" s="61" t="s">
        <v>170</v>
      </c>
      <c r="BJ17" s="61" t="s">
        <v>165</v>
      </c>
      <c r="BK17" s="61" t="s">
        <v>206</v>
      </c>
      <c r="BL17" s="61" t="s">
        <v>207</v>
      </c>
      <c r="BM17" s="61" t="s">
        <v>206</v>
      </c>
      <c r="BN17" s="61" t="s">
        <v>221</v>
      </c>
      <c r="BO17" s="61" t="s">
        <v>168</v>
      </c>
      <c r="BP17" s="61" t="s">
        <v>169</v>
      </c>
      <c r="BQ17" s="61" t="s">
        <v>170</v>
      </c>
      <c r="BS17" s="61" t="s">
        <v>223</v>
      </c>
      <c r="BT17" s="61" t="s">
        <v>224</v>
      </c>
      <c r="BU17" s="61" t="s">
        <v>225</v>
      </c>
      <c r="BV17" s="61" t="s">
        <v>165</v>
      </c>
      <c r="BW17" s="61" t="s">
        <v>206</v>
      </c>
      <c r="BX17" s="61" t="s">
        <v>207</v>
      </c>
      <c r="BY17" s="61" t="s">
        <v>206</v>
      </c>
      <c r="BZ17" s="61" t="s">
        <v>226</v>
      </c>
      <c r="CA17" s="61" t="s">
        <v>168</v>
      </c>
      <c r="CB17" s="61" t="s">
        <v>169</v>
      </c>
      <c r="CC17" s="61" t="s">
        <v>170</v>
      </c>
      <c r="CD17" s="61" t="s">
        <v>227</v>
      </c>
      <c r="CE17" s="225" t="s">
        <v>165</v>
      </c>
      <c r="CG17" s="61" t="s">
        <v>231</v>
      </c>
      <c r="CH17" s="61" t="s">
        <v>165</v>
      </c>
      <c r="CI17" s="61" t="s">
        <v>232</v>
      </c>
      <c r="CK17" s="61" t="s">
        <v>223</v>
      </c>
      <c r="CL17" s="61" t="s">
        <v>243</v>
      </c>
      <c r="CM17" s="61" t="s">
        <v>244</v>
      </c>
      <c r="CN17" s="61" t="s">
        <v>165</v>
      </c>
      <c r="CO17" s="61" t="s">
        <v>206</v>
      </c>
      <c r="CP17" s="61" t="s">
        <v>207</v>
      </c>
      <c r="CQ17" s="61" t="s">
        <v>206</v>
      </c>
      <c r="CR17" s="61" t="s">
        <v>226</v>
      </c>
      <c r="CS17" s="61" t="s">
        <v>168</v>
      </c>
      <c r="CT17" s="61" t="s">
        <v>169</v>
      </c>
      <c r="CU17" s="61" t="s">
        <v>170</v>
      </c>
      <c r="CV17" s="61" t="s">
        <v>227</v>
      </c>
      <c r="CW17" s="225" t="s">
        <v>165</v>
      </c>
      <c r="EG17" s="61" t="s">
        <v>126</v>
      </c>
      <c r="EH17" s="61" t="s">
        <v>114</v>
      </c>
      <c r="EI17" s="61" t="s">
        <v>224</v>
      </c>
      <c r="EJ17" s="61" t="s">
        <v>225</v>
      </c>
      <c r="EK17" s="121" t="s">
        <v>311</v>
      </c>
      <c r="EL17" s="61" t="s">
        <v>224</v>
      </c>
      <c r="EM17" s="61" t="s">
        <v>225</v>
      </c>
      <c r="EN17" s="121" t="s">
        <v>311</v>
      </c>
      <c r="EO17" s="61" t="s">
        <v>243</v>
      </c>
      <c r="EP17" s="61" t="s">
        <v>244</v>
      </c>
      <c r="EQ17" s="121" t="s">
        <v>311</v>
      </c>
      <c r="ER17" s="61" t="s">
        <v>243</v>
      </c>
      <c r="ES17" s="61" t="s">
        <v>244</v>
      </c>
      <c r="ET17" s="121" t="s">
        <v>311</v>
      </c>
      <c r="EU17" s="199" t="s">
        <v>224</v>
      </c>
      <c r="EV17" s="199" t="s">
        <v>243</v>
      </c>
      <c r="EW17" s="61" t="s">
        <v>250</v>
      </c>
      <c r="EX17" s="200" t="s">
        <v>250</v>
      </c>
      <c r="EY17" s="61" t="s">
        <v>207</v>
      </c>
      <c r="EZ17" s="61" t="s">
        <v>215</v>
      </c>
      <c r="FA17" s="61" t="s">
        <v>251</v>
      </c>
      <c r="FB17" s="61" t="s">
        <v>168</v>
      </c>
      <c r="FC17" s="61" t="s">
        <v>193</v>
      </c>
      <c r="FD17" s="105" t="s">
        <v>171</v>
      </c>
      <c r="FE17" s="105" t="s">
        <v>295</v>
      </c>
      <c r="FF17" s="105" t="s">
        <v>295</v>
      </c>
      <c r="FG17" s="229" t="s">
        <v>407</v>
      </c>
      <c r="FH17" s="229" t="s">
        <v>408</v>
      </c>
      <c r="FI17" s="105"/>
      <c r="FK17" s="158" t="s">
        <v>126</v>
      </c>
      <c r="FL17" s="194" t="s">
        <v>386</v>
      </c>
      <c r="FM17" s="194" t="s">
        <v>385</v>
      </c>
      <c r="FN17" s="194" t="s">
        <v>387</v>
      </c>
      <c r="FO17" s="194" t="s">
        <v>389</v>
      </c>
      <c r="FP17" s="196" t="s">
        <v>165</v>
      </c>
      <c r="FQ17" s="196" t="s">
        <v>206</v>
      </c>
      <c r="FR17" s="196" t="s">
        <v>207</v>
      </c>
      <c r="FS17" s="196" t="s">
        <v>206</v>
      </c>
      <c r="FT17" s="196" t="s">
        <v>390</v>
      </c>
      <c r="FU17" s="213" t="s">
        <v>397</v>
      </c>
      <c r="FV17" s="213" t="s">
        <v>156</v>
      </c>
      <c r="FW17" s="196" t="s">
        <v>392</v>
      </c>
      <c r="FX17" s="227" t="s">
        <v>165</v>
      </c>
      <c r="FY17" s="196" t="s">
        <v>295</v>
      </c>
      <c r="FZ17" s="196"/>
      <c r="GA17" s="196"/>
      <c r="GB17" s="196"/>
      <c r="GC17" s="198"/>
      <c r="GD17" s="198"/>
    </row>
    <row r="18" spans="1:186">
      <c r="A18" s="113">
        <v>0.25</v>
      </c>
      <c r="B18" s="61" t="s">
        <v>158</v>
      </c>
      <c r="C18" s="4" t="s">
        <v>31</v>
      </c>
      <c r="D18" s="4">
        <f>'Input Sheet'!D36</f>
        <v>0</v>
      </c>
      <c r="E18" s="4">
        <f>'Input Sheet'!E36</f>
        <v>0</v>
      </c>
      <c r="F18" s="4">
        <f>'Input Sheet'!F36</f>
        <v>0</v>
      </c>
      <c r="G18" s="4">
        <f>'Input Sheet'!G36</f>
        <v>0</v>
      </c>
      <c r="H18" s="4">
        <f>'Input Sheet'!H36</f>
        <v>0</v>
      </c>
      <c r="I18" s="4">
        <f>'Input Sheet'!I36</f>
        <v>0</v>
      </c>
      <c r="J18" s="4">
        <f>'Input Sheet'!J36</f>
        <v>0</v>
      </c>
      <c r="K18" s="4">
        <f>'Input Sheet'!K36</f>
        <v>0</v>
      </c>
      <c r="L18" s="4">
        <f>'Input Sheet'!L36</f>
        <v>0</v>
      </c>
      <c r="M18" s="4">
        <f>'Input Sheet'!M36</f>
        <v>0</v>
      </c>
      <c r="N18" s="4">
        <f>'Input Sheet'!N36</f>
        <v>0</v>
      </c>
      <c r="O18" s="4">
        <f>'Input Sheet'!O36</f>
        <v>0</v>
      </c>
      <c r="P18" s="4">
        <f>'Input Sheet'!P36</f>
        <v>0</v>
      </c>
      <c r="Q18" s="4">
        <f>'Input Sheet'!Q36</f>
        <v>0</v>
      </c>
      <c r="R18" s="4">
        <f>'Input Sheet'!R36</f>
        <v>0</v>
      </c>
      <c r="S18" s="4">
        <f>'Input Sheet'!S36</f>
        <v>0</v>
      </c>
      <c r="U18" s="43">
        <f>SUM(D18:F18)</f>
        <v>0</v>
      </c>
      <c r="V18" s="3">
        <f>SUM(H18:J18)</f>
        <v>0</v>
      </c>
      <c r="W18" s="3">
        <f>SUM(U18:V18)</f>
        <v>0</v>
      </c>
      <c r="X18" s="3">
        <f>IF(V18&gt;U18,V18,U18)</f>
        <v>0</v>
      </c>
      <c r="Y18" s="3">
        <f>SUM(L18:N18)</f>
        <v>0</v>
      </c>
      <c r="Z18" s="3">
        <f>SUM(P18:R18)</f>
        <v>0</v>
      </c>
      <c r="AA18" s="3">
        <f>SUM(Y18:Z18)</f>
        <v>0</v>
      </c>
      <c r="AB18" s="3">
        <f>IF(Z18&gt;Y18,Z18,Y18)</f>
        <v>0</v>
      </c>
      <c r="AC18" s="55">
        <f>SUM(D18:F18,H18:J18,L18:N18,P18:R18)</f>
        <v>0</v>
      </c>
      <c r="AD18" s="3"/>
      <c r="AE18" s="3">
        <f>IF(IF($W$31&gt;$AA$31,$W18,$AA18)=0,0,IF($W$31&gt;$AA$31,$W18,$AA18))</f>
        <v>0</v>
      </c>
      <c r="AF18" s="3">
        <f>IF(IF($W$31&gt;$AA$31,$AB18,$X18)=0,0,IF($W$31&gt;$AA$31,$AB18,$X18))</f>
        <v>0</v>
      </c>
      <c r="AG18" s="3">
        <f t="shared" ref="AG18:AG30" si="0">SUM(AE18:AF18)</f>
        <v>0</v>
      </c>
      <c r="AH18" s="3"/>
      <c r="AI18" s="3">
        <f>IF(OR(AND($AE18&gt;=AI$34,$AF18&gt;=AI$38),AND($AE18&lt;AI$34,$AF18&lt;AI$38)),$AE18-AI$34+$AF18-AI$38,IF($AE18&gt;=AI$34,$AF18-AI$38,$AE18-AI$34))</f>
        <v>-455</v>
      </c>
      <c r="AJ18" s="3">
        <f>IF(AI18&gt;AI$41,1,0)</f>
        <v>0</v>
      </c>
      <c r="AK18" s="3">
        <f>IF(AI18=AI$41,$AG18,0)</f>
        <v>0</v>
      </c>
      <c r="AL18" s="3">
        <f>IF(AK18&gt;AK$36,1,0)</f>
        <v>0</v>
      </c>
      <c r="AM18" s="114" t="str">
        <f>IF($AG18=0,"N/A",IF(AI18&gt;AI$41,$A18,IF(AK18&gt;AK$36,$A18,IF(AND(AK18=AK$36,COUNTIF(AK$18:AK18,AK$36)&lt;=AL$34),$A18,"N/A"))))</f>
        <v>N/A</v>
      </c>
      <c r="AN18" s="114" t="str">
        <f>IF(OR(COUNTIF(AM$18:AM$30,"N/A")&gt;=13,$AG$34&lt;1),"N/A",SMALL(AM$18:AM$30,1))</f>
        <v>N/A</v>
      </c>
      <c r="AO18" s="3" t="str">
        <f t="shared" ref="AO18:AO25" si="1">IF(AN18="N/A","N/A",LOOKUP(AN18,$A$18:$A$30,$AE$18:$AE$30))</f>
        <v>N/A</v>
      </c>
      <c r="AP18" s="3" t="str">
        <f t="shared" ref="AP18:AP25" si="2">IF(AN18="N/A","N/A",LOOKUP(AN18,$A$18:$A$30,$AF$18:$AF$30))</f>
        <v>N/A</v>
      </c>
      <c r="AQ18" s="3"/>
      <c r="AR18" s="3">
        <f>IF(OR(AND($AE18&gt;=AR$34,$AF18&gt;=AR$38),AND($AE18&lt;AR$34,$AF18&lt;AR$38)),$AE18-AR$34+$AF18-AR$38,IF($AE18&gt;=AR$34,$AF18-AR$38,$AE18-AR$34))</f>
        <v>-578</v>
      </c>
      <c r="AS18" s="3">
        <f>IF(AR18&gt;AR$41,1,0)</f>
        <v>0</v>
      </c>
      <c r="AT18" s="3">
        <f>IF(AR18=AR$41,$AG18,0)</f>
        <v>0</v>
      </c>
      <c r="AU18" s="3">
        <f>IF(AT18&gt;AT$36,1,0)</f>
        <v>0</v>
      </c>
      <c r="AV18" s="114" t="str">
        <f>IF($AG18=0,"N/A",IF(AR18&gt;AR$41,$A18,IF(AT18&gt;AT$36,$A18,IF(AND(AT18=AT$36,COUNTIF(AT$18:AT18,AT$36)&lt;=AU$34),$A18,"N/A"))))</f>
        <v>N/A</v>
      </c>
      <c r="AW18" s="114" t="str">
        <f>IF(OR(COUNTIF(AV$18:AV$30,"N/A")&gt;=13,$AG$34&lt;1),"N/A",SMALL(AV$18:AV$30,1))</f>
        <v>N/A</v>
      </c>
      <c r="AX18" s="3" t="str">
        <f>IF(AW18="N/A","N/A",LOOKUP(AW18,$A$18:$A$30,$AE$18:$AE$30))</f>
        <v>N/A</v>
      </c>
      <c r="AY18" s="3" t="str">
        <f>IF(AW18="N/A","N/A",LOOKUP(AW18,$A$18:$A$30,$AF$18:$AF$30))</f>
        <v>N/A</v>
      </c>
      <c r="AZ18" s="3"/>
      <c r="BA18" s="61">
        <f>IF(OR(AND($AE18&gt;=BA$34,$AF18&gt;=BA$38),AND($AE18&lt;BA$34,$AF18&lt;BA$38)),$AE18-BA$34+$AF18-BA$38,IF($AE18&gt;=BA$34,$AF18-BA$38,$AE18-BA$34))</f>
        <v>-364</v>
      </c>
      <c r="BB18" s="61">
        <f>IF(BA18&gt;BA$41,1,0)</f>
        <v>0</v>
      </c>
      <c r="BC18" s="61">
        <f>IF(BA18=BA$41,$AG18,0)</f>
        <v>0</v>
      </c>
      <c r="BD18" s="61">
        <f>IF(BC18&gt;BC$36,1,0)</f>
        <v>0</v>
      </c>
      <c r="BE18" s="113" t="str">
        <f>IF($AG18=0,"N/A",IF(BA18&gt;BA$41,$A18,IF(BC18&gt;BC$36,$A18,IF(AND(BC18=BC$36,COUNTIF(BC$18:BC18,BC$36)&lt;=BD$34),$A18,"N/A"))))</f>
        <v>N/A</v>
      </c>
      <c r="BF18" s="114" t="str">
        <f>IF(OR(COUNTIF(BE$18:BE$30,"N/A")&gt;=13,$AG$34&lt;1),"N/A",SMALL(BE$18:BE$30,1))</f>
        <v>N/A</v>
      </c>
      <c r="BG18" s="61" t="str">
        <f t="shared" ref="BG18:BG25" si="3">IF(BF18="N/A","N/A",LOOKUP(BF18,$A$18:$A$30,$AE$18:$AE$30))</f>
        <v>N/A</v>
      </c>
      <c r="BH18" s="61" t="str">
        <f t="shared" ref="BH18:BH25" si="4">IF(BF18="N/A","N/A",LOOKUP(BF18,$A$18:$A$30,$AF$18:$AF$30))</f>
        <v>N/A</v>
      </c>
      <c r="BJ18" s="61">
        <f>IF(OR(AND($AE18&gt;=BJ$34,$AF18&gt;=BJ$38),AND($AE18&lt;BJ$34,$AF18&lt;BJ$38)),$AE18-BJ$34+$AF18-BJ$38,IF($AE18&gt;=BJ$34,$AF18-BJ$38,$AE18-BJ$34))</f>
        <v>-462</v>
      </c>
      <c r="BK18" s="61">
        <f>IF(BJ18&gt;BJ$41,1,0)</f>
        <v>0</v>
      </c>
      <c r="BL18" s="61">
        <f>IF(BJ18=BJ$41,$AG18,0)</f>
        <v>0</v>
      </c>
      <c r="BM18" s="61">
        <f>IF(BL18&gt;$BL$36,1,0)</f>
        <v>0</v>
      </c>
      <c r="BN18" s="113" t="str">
        <f>IF($AG18=0,"N/A",IF(BJ18&gt;BJ$41,$A18,IF(BL18&gt;BL$36,$A18,IF(AND(BL18=BL$36,COUNTIF(BL$18:BL18,BL$36)&lt;=BM$34),$A18,"N/A"))))</f>
        <v>N/A</v>
      </c>
      <c r="BO18" s="114" t="str">
        <f>IF(OR(COUNTIF(BN$18:BN$30,"N/A")&gt;=13,$AG$34&lt;1),"N/A",SMALL(BN$18:BN$30,1))</f>
        <v>N/A</v>
      </c>
      <c r="BP18" s="61" t="str">
        <f>IF(BO18="N/A","N/A",LOOKUP(BO18,$A$18:$A$30,$AE$18:$AE$30))</f>
        <v>N/A</v>
      </c>
      <c r="BQ18" s="61" t="str">
        <f>IF(BO18="N/A","N/A",LOOKUP(BO18,$A$18:$A$30,$AF$18:$AF$30))</f>
        <v>N/A</v>
      </c>
      <c r="BS18" s="61">
        <f>$AF18</f>
        <v>0</v>
      </c>
      <c r="BT18" s="61" t="str">
        <f>IF($BT$6="Yes",IF(AND('Pg 1'!$N$10&gt;1,'Pg 1'!$N$12&gt;1),$DJ18,IF(AND('Pg 1'!$N$10&gt;1,'Pg 1'!$N$12=1),$DL18,$DN18)),IF(AND('Pg 1'!$N$10&gt;1,'Pg 1'!$N$12&gt;1),$DB18,IF(AND('Pg 1'!$N$10&gt;1,'Pg 1'!$N$12=1),$DD18,$DF18)))</f>
        <v>N/A</v>
      </c>
      <c r="BU18" s="61" t="str">
        <f>IF(OR($BS18=0,$BT18="N/A"),"No",IF($BS18&gt;=BT18+5,"Yes",IF($BS18&lt;=BT18-10,"No","Close")))</f>
        <v>No</v>
      </c>
      <c r="BV18" s="61">
        <f>IF(OR(BS18=0,BT18="N/A"),-9999,+BS18-BT18)</f>
        <v>-9999</v>
      </c>
      <c r="BW18" s="61">
        <f>IF(BV18&gt;BV$33,1,0)</f>
        <v>0</v>
      </c>
      <c r="BX18" s="61">
        <f>IF(BV18=BV$33,$AG18,0)</f>
        <v>0</v>
      </c>
      <c r="BY18" s="61">
        <f>IF(BX18&gt;BX$33,1,0)</f>
        <v>0</v>
      </c>
      <c r="BZ18" s="113" t="str">
        <f>IF($AG18=0,"N/A",IF(BV18&gt;BV$33,$A18,IF(BX18&gt;BX$36,$A18,IF(AND(BX18=BX$36,COUNTIF(BX$18:BX18,BX$36)&lt;=BY$34),$A18,"N/A"))))</f>
        <v>N/A</v>
      </c>
      <c r="CA18" s="114" t="str">
        <f>IF(OR(COUNTIF(BZ$18:BZ$30,"N/A")&gt;=13,$AG$34&lt;1),"N/A",SMALL(BZ$18:BZ$30,1))</f>
        <v>N/A</v>
      </c>
      <c r="CB18" s="61" t="str">
        <f>IF(CA18="N/A","N/A",LOOKUP(CA18,$A$18:$A$30,$AE$18:$AE$30))</f>
        <v>N/A</v>
      </c>
      <c r="CC18" s="61" t="str">
        <f>IF(CA18="N/A","N/A",LOOKUP(CA18,$A$18:$A$30,$AF$18:$AF$30))</f>
        <v>N/A</v>
      </c>
      <c r="CD18" s="61" t="str">
        <f t="shared" ref="CD18:CD25" si="5">IF(CA18="N/A","N/A",LOOKUP(CA18,$A$18:$A$30,$BU$18:$BU$30))</f>
        <v>N/A</v>
      </c>
      <c r="CE18" s="225" t="str">
        <f>IF(CA18="N/A","N/A",LOOKUP(CA18,$A$18:$A$30,$BV$18:$BV$30))</f>
        <v>N/A</v>
      </c>
      <c r="CG18" s="61">
        <f>AC18</f>
        <v>0</v>
      </c>
      <c r="CH18" s="61">
        <f t="shared" ref="CH18:CH30" si="6">IF(OR(AND($CG18&gt;=CG$34,$AF18&gt;=CG$38),AND($CG18&lt;CG$34,$AF18&lt;CG$38)),$CG18-CG$34+$AF18-CG$38,IF($CG18&gt;=CG$34,$AF18-CG$38,$CG18-CG$34))</f>
        <v>-750</v>
      </c>
      <c r="CI18" s="113" t="str">
        <f t="shared" ref="CI18:CI30" si="7">IF($CG18=0,"N/A",IF(CH18=CH$33,$A18,"N/A"))</f>
        <v>N/A</v>
      </c>
      <c r="CK18" s="61">
        <f>$AF18</f>
        <v>0</v>
      </c>
      <c r="CL18" s="61" t="str">
        <f>IF($BT$6="Yes",IF(AND('Pg 1'!$N$10&gt;1,'Pg 1'!$N$12&gt;1),$DZ18,IF(AND('Pg 1'!$N$10&gt;1,'Pg 1'!$N$12=1),$EB18,ED18)),IF(AND('Pg 1'!$N$10&gt;1,'Pg 1'!$N$12&gt;1),$DR18,IF(AND('Pg 1'!$N$10&gt;1,'Pg 1'!$N$12=1),$DT18,$DV18)))</f>
        <v>N/A</v>
      </c>
      <c r="CM18" s="61" t="str">
        <f>IF(OR($CK18="N/A",$CL18="N/A"),"No",IF($CK18&gt;=CL18+5,"Yes",IF($CK18&lt;=CL18-10,"No","Close")))</f>
        <v>No</v>
      </c>
      <c r="CN18" s="61">
        <f>IF(OR(CK18=0,CL18="N/A"),-9999,CK18-CL18)</f>
        <v>-9999</v>
      </c>
      <c r="CO18" s="61">
        <f>IF(CN18&gt;CN$33,1,0)</f>
        <v>0</v>
      </c>
      <c r="CP18" s="61">
        <f>IF(CN18=CN$33,$AG18,0)</f>
        <v>0</v>
      </c>
      <c r="CQ18" s="61">
        <f>IF(CP18&gt;CP$33,1,0)</f>
        <v>0</v>
      </c>
      <c r="CR18" s="113" t="str">
        <f>IF($AG18=0,"N/A",IF(CN18&gt;CN$33,$A18,IF(CP18&gt;CP$36,$A18,IF(AND(CP18=CP$36,COUNTIF(CP$18:CP18,CP$36)&lt;=CQ$34),$A18,"N/A"))))</f>
        <v>N/A</v>
      </c>
      <c r="CS18" s="114" t="str">
        <f>IF(OR(COUNTIF(CR$18:CR$30,"N/A")&gt;=13,$AG$34&lt;1),"N/A",SMALL(CR$18:CR$30,1))</f>
        <v>N/A</v>
      </c>
      <c r="CT18" s="61" t="str">
        <f>IF(CS18="N/A","N/A",LOOKUP(CS18,$A$18:$A$30,$AE$18:$AE$30))</f>
        <v>N/A</v>
      </c>
      <c r="CU18" s="61" t="str">
        <f>IF(CS18="N/A","N/A",LOOKUP(CS18,$A$18:$A$30,$AF$18:$AF$30))</f>
        <v>N/A</v>
      </c>
      <c r="CV18" s="61" t="str">
        <f t="shared" ref="CV18:CV25" si="8">IF(CS18="N/A","N/A",LOOKUP(CS18,$A$18:$A$30,$CM$18:$CM$30))</f>
        <v>N/A</v>
      </c>
      <c r="CW18" s="61" t="str">
        <f>IF(CS18="N/A","N/A",LOOKUP(CS18,$A$18:$A$30,$CN$18:$CN$30))</f>
        <v>N/A</v>
      </c>
      <c r="CZ18" s="80">
        <f>$AE18</f>
        <v>0</v>
      </c>
      <c r="DA18" s="80"/>
      <c r="DB18" s="80" t="str">
        <f>IF($CZ18&lt;DB$5,"N/A",IF(AND($CZ18&gt;=DB$5,$CZ18&lt;=DB$8),DB$9^($CZ18-DB$5)*DB$4*$CZ$14,DB$6*$CZ$14))</f>
        <v>N/A</v>
      </c>
      <c r="DC18" s="80"/>
      <c r="DD18" s="80" t="str">
        <f>IF($CZ18&lt;DD$5,"N/A",IF(AND($CZ18&gt;=DD$5,$CZ18&lt;=DD$8),DD$9^($CZ18-DD$5)*DD$4*$CZ$14,DD$6*$CZ$14))</f>
        <v>N/A</v>
      </c>
      <c r="DE18" s="80"/>
      <c r="DF18" s="80" t="str">
        <f>IF($CZ18&lt;DF$5,"N/A",IF(AND($CZ18&gt;=DF$5,$CZ18&lt;=DF$8),DF$9^($CZ18-DF$5)*DF$4*$CZ$14,DF$6*$CZ$14))</f>
        <v>N/A</v>
      </c>
      <c r="DG18" s="80"/>
      <c r="DH18" s="80">
        <f>AE18</f>
        <v>0</v>
      </c>
      <c r="DI18" s="80"/>
      <c r="DJ18" s="80" t="str">
        <f>IF($CZ18&lt;DJ$5,"N/A",IF(AND($CZ18&gt;=DJ$5,$CZ18&lt;=DJ$8),DJ$9^($CZ18-DJ$5)*DJ$4*$DH$14,DJ$6*$DH$14))</f>
        <v>N/A</v>
      </c>
      <c r="DK18" s="80"/>
      <c r="DL18" s="80" t="str">
        <f>IF($CZ18&lt;DL$5,"N/A",IF(AND($CZ18&gt;=DL$5,$CZ18&lt;=DL$8),DL$9^($CZ18-DL$5)*DL$4*$DH$14,DL$6*$DH$14))</f>
        <v>N/A</v>
      </c>
      <c r="DM18" s="80"/>
      <c r="DN18" s="80" t="str">
        <f>IF($CZ18&lt;DN$5,"N/A",IF(AND($CZ18&gt;=DN$5,$CZ18&lt;=DN$8),DN$9^($CZ18-DN$5)*DN$4*$DH$14,DN$6*$DH$14))</f>
        <v>N/A</v>
      </c>
      <c r="DO18" s="80"/>
      <c r="DP18" s="80">
        <f>AE18</f>
        <v>0</v>
      </c>
      <c r="DQ18" s="80"/>
      <c r="DR18" s="80" t="str">
        <f>IF($DP18&lt;DR$5,"N/A",IF(AND($DP18&gt;=DR$5,$DP18&lt;=DR$8),DR$9^($DP18-DR$5)*DR$4*$DP$14,DR$6*$DP$14))</f>
        <v>N/A</v>
      </c>
      <c r="DS18" s="80"/>
      <c r="DT18" s="80" t="str">
        <f>IF($DP18&lt;DT$5,"N/A",IF(AND($DP18&gt;=DT$5,$DP18&lt;=DT$8),DT$9^($DP18-DT$5)*DT$4*$DP$14,DT$6*$DP$14))</f>
        <v>N/A</v>
      </c>
      <c r="DU18" s="80"/>
      <c r="DV18" s="80" t="str">
        <f>IF($DP18&lt;DV$5,"N/A",IF(AND($DP18&gt;=DV$5,$DP18&lt;=DV$8),DV$9^($DP18-DV$5)*DV$4*$DP$14,DV$6*$DP$14))</f>
        <v>N/A</v>
      </c>
      <c r="DW18" s="80"/>
      <c r="DX18" s="80">
        <f>AE18</f>
        <v>0</v>
      </c>
      <c r="DY18" s="80"/>
      <c r="DZ18" s="80" t="str">
        <f>IF($DP18&lt;DZ$5,"N/A",IF(AND($DP18&gt;=DZ$5,$DP18&lt;=DZ$8),DZ$9^($DP18-DZ$5)*DZ$4*$DX$14,DZ$6*$DX$14))</f>
        <v>N/A</v>
      </c>
      <c r="EA18" s="80"/>
      <c r="EB18" s="80" t="str">
        <f>IF($DP18&lt;EB$5,"N/A",IF(AND($DP18&gt;=EB$5,$DP18&lt;=EB$8),EB$9^($DP18-EB$5)*EB$4*$DX$14,EB$6*$DX$14))</f>
        <v>N/A</v>
      </c>
      <c r="EC18" s="80"/>
      <c r="ED18" s="80" t="str">
        <f>IF($DP18&lt;ED$5,"N/A",IF(AND($DP18&gt;=ED$5,$DP18&lt;=ED$8),ED$9^($DP18-ED$5)*ED$4*$DX$14,ED$6*$DX$14))</f>
        <v>N/A</v>
      </c>
      <c r="EF18" s="61"/>
      <c r="EG18" s="61">
        <f>AE18</f>
        <v>0</v>
      </c>
      <c r="EH18" s="61">
        <f>IF(AC18=0,0,IF(W$31&gt;AA$31,O18+S18,G18+K18))</f>
        <v>0</v>
      </c>
      <c r="EI18" s="80" t="str">
        <f t="shared" ref="EI18:EI30" si="9">IF($EG18&lt;EI$4,"N/A",IF($EG18&gt;=EI$6,EI$5,4.2611*($EG18/100-2)^2-90.146*($EG18/100-2)+577.98))</f>
        <v>N/A</v>
      </c>
      <c r="EJ18" s="61" t="str">
        <f>IF(OR($EH18=0,EI18="N/A"),"No",IF($EH18&gt;=EI18+5,"Yes",IF($EH18&lt;=EI18-8,"No","Close")))</f>
        <v>No</v>
      </c>
      <c r="EK18" s="121" t="str">
        <f t="shared" ref="EK18:EK30" si="10">IF(OR($EH18=0,EI18="N/A"),"No",IF($EH18&gt;=EI18*0.8,"Yes","No"))</f>
        <v>No</v>
      </c>
      <c r="EL18" s="80" t="str">
        <f t="shared" ref="EL18:EL30" si="11">IF($EG18&lt;EL$4,"N/A",IF($EG18&gt;=EL$6,EL$5,5.5774*($EG18/100-2)^2-78.304*($EG18/100-2)+345.52))</f>
        <v>N/A</v>
      </c>
      <c r="EM18" s="61" t="str">
        <f>IF(OR($EH18=0,EL18="N/A"),"No",IF($EH18&gt;=EL18+5,"Yes",IF($EH18&lt;=EL18-8,"No","Close")))</f>
        <v>No</v>
      </c>
      <c r="EN18" s="121" t="str">
        <f t="shared" ref="EN18:EN30" si="12">IF(OR($EH18=0,EL18="N/A"),"No",IF($EH18&gt;=EL18*0.8,"Yes","No"))</f>
        <v>No</v>
      </c>
      <c r="EO18" s="80" t="str">
        <f>IF($EG18&lt;EO$4,"N/A",IF($EG18&gt;=EO$6,EO$5,3.1979*($EG18/100-2)^2-87.798*($EG18/100-2)+730.69))</f>
        <v>N/A</v>
      </c>
      <c r="EP18" s="61" t="str">
        <f>IF(OR($EH18=0,EO18="N/A"),"No",IF($EH18&gt;=EO18+5,"Yes",IF($EH18&lt;=EO18-8,"No","Close")))</f>
        <v>No</v>
      </c>
      <c r="EQ18" s="121" t="str">
        <f t="shared" ref="EQ18:EQ30" si="13">IF(OR($EH18=0,EO18="N/A"),"No",IF($EH18&gt;=EO18*0.8,"Yes","No"))</f>
        <v>No</v>
      </c>
      <c r="ER18" s="80" t="str">
        <f t="shared" ref="ER18:ER30" si="14">IF($EG18&lt;ER$4,"N/A",IF($EG18&gt;=ER$6,ER$5,4.2348*($EG18/100-2)^2-82.832*($EG18/100-2)+495.23))</f>
        <v>N/A</v>
      </c>
      <c r="ES18" s="61" t="str">
        <f>IF(OR($EH18=0,ER18="N/A"),"No",IF($EH18&gt;=ER18+5,"Yes",IF($EH18&lt;=ER18-8,"No","Close")))</f>
        <v>No</v>
      </c>
      <c r="ET18" s="121" t="str">
        <f t="shared" ref="ET18:ET30" si="15">IF(OR($EH18=0,ER18="N/A"),"No",IF($EH18&gt;=ER18*0.8,"Yes","No"))</f>
        <v>No</v>
      </c>
      <c r="EU18" s="61">
        <f>IF($EG18=0,-9999,IF($EH$6="No",IF(EI18="N/A",-9999,$EH18-EI18),IF(EL18="N/A",-9999,$EH18-EL18)))</f>
        <v>-9999</v>
      </c>
      <c r="EV18" s="199">
        <f>IF($EG18=0,-9999,IF($EH$6="No",IF(EO18="N/A",-9999,$EH18-EO18),IF(ER18="N/A",-9999,$EH18-ER18)))</f>
        <v>-9999</v>
      </c>
      <c r="EW18" s="61">
        <f>IF(EU18&gt;EU$33,1,0)</f>
        <v>0</v>
      </c>
      <c r="EX18" s="200">
        <f>IF(EV18&gt;EV$33,1,0)</f>
        <v>0</v>
      </c>
      <c r="EY18" s="61">
        <f>IF(EU18=$EU$33,EG18+EH18,0)</f>
        <v>0</v>
      </c>
      <c r="EZ18" s="61">
        <f>IF(EY18&gt;EY$33,1,0)</f>
        <v>0</v>
      </c>
      <c r="FA18" s="113" t="str">
        <f>IF(EG18=0,"N/A",IF(EU18&gt;EU$33,A18,IF(EY18&gt;EY$33,A18,IF(AND(EY18=EY$33,COUNTIF(EY$18:EY18,EY$33)&lt;=EZ$35),A18,"N/A"))))</f>
        <v>N/A</v>
      </c>
      <c r="FB18" s="114" t="str">
        <f>IF(OR(COUNTIF(FA$18:FA$30,"N/A")&gt;=13,$AG$34&lt;1),"N/A",SMALL(FA$18:FA$30,1))</f>
        <v>N/A</v>
      </c>
      <c r="FC18" s="61" t="str">
        <f t="shared" ref="FC18:FC25" si="16">IF($FB18="N/A","N/A",LOOKUP($FB18,$A$18:$A$30,EH$18:EH$30))</f>
        <v>N/A</v>
      </c>
      <c r="FD18" s="61" t="str">
        <f t="shared" ref="FD18:FD25" si="17">IF($FB18="N/A","N/A",LOOKUP($FB18,$A$18:$A$30,EG$18:EG$30))</f>
        <v>N/A</v>
      </c>
      <c r="FE18" s="61" t="str">
        <f t="shared" ref="FE18:FE25" si="18">IF(FB18="N/A","N/A",IF($EH$6="No",LOOKUP(FB18,$A$18:$A$30,$EJ$18:$EJ$30),LOOKUP(FB18,$A$18:$A$30,$EM$18:$EM$30)))</f>
        <v>N/A</v>
      </c>
      <c r="FF18" s="61" t="str">
        <f t="shared" ref="FF18:FF25" si="19">IF(FB18="N/A","N/A",IF($EH$6="No",LOOKUP(FB18,$A$18:$A$30,$EP$18:$EP$30),LOOKUP(FB18,$A$18:$A$30,$ES$18:$ES$30)))</f>
        <v>N/A</v>
      </c>
      <c r="FG18" s="227" t="str">
        <f>IF(FB18="N/A","N/A",LOOKUP(FB18,$A$18:$A$30,$EU$18:$EU$30))</f>
        <v>N/A</v>
      </c>
      <c r="FH18" s="227" t="str">
        <f>IF(FB18="N/A","N/A",LOOKUP(FB18,$A$18:$A$30,$EV$18:$EV$30))</f>
        <v>N/A</v>
      </c>
      <c r="FK18" s="158">
        <f>AE18</f>
        <v>0</v>
      </c>
      <c r="FL18" s="158" t="str">
        <f>IF('Wrnt 9 Input'!$D$9="Northbound",Worksheet!U18,IF('Wrnt 9 Input'!$D$9="Southbound",Worksheet!V18,IF('Wrnt 9 Input'!$D$9="Eastbound",Worksheet!Y18,IF('Wrnt 9 Input'!$D$9="Westbound",Worksheet!Z18,"N/A"))))</f>
        <v>N/A</v>
      </c>
      <c r="FM18" s="158">
        <f>IF(FL18="N/A",0,ROUND(FL18*$FL$88*$FL$98*$FL$106,0))</f>
        <v>0</v>
      </c>
      <c r="FN18" s="158" t="str">
        <f>IF('Wrnt 9 Input'!$B$13&lt;40,FL40,IF('Wrnt 9 Input'!$B$13&lt;60,FN40,IF('Wrnt 9 Input'!$B$13&lt;80,FP40,IF('Wrnt 9 Input'!$B$13&lt;100,FR40,IF('Wrnt 9 Input'!$B$13&lt;120,FT40,IF('Wrnt 9 Input'!$B$13&lt;=140,FV40,"N/A"))))))</f>
        <v>N/A</v>
      </c>
      <c r="FO18" s="196" t="str">
        <f>IF(OR($FM18=0,$FN18="N/A"),"No",IF($FM18&gt;=FN18+3,"Yes",IF($FM18&lt;=FN18-3,"No","Close")))</f>
        <v>No</v>
      </c>
      <c r="FP18" s="196">
        <f t="shared" ref="FP18:FP30" si="20">IF(OR(FK18=0,FM18=0),-9999,+FM18-FN18)</f>
        <v>-9999</v>
      </c>
      <c r="FQ18" s="196">
        <f t="shared" ref="FQ18:FQ30" si="21">IF(FP18&gt;FP$33,1,0)</f>
        <v>0</v>
      </c>
      <c r="FR18" s="196">
        <f>IF(FP18=FP$33,FK18+FM18,0)</f>
        <v>0</v>
      </c>
      <c r="FS18" s="196">
        <f t="shared" ref="FS18:FS30" si="22">IF(FR18&gt;FR$33,1,0)</f>
        <v>0</v>
      </c>
      <c r="FT18" s="113" t="str">
        <f>IF($AG18=0,"N/A",IF(FP18&gt;FP$33,$A18,IF(FR18&gt;FR$36,$A18,IF(AND(FR18=FR$36,COUNTIF(FR$18:FR18,FR$36)&lt;=FS$34),$A18,"N/A"))))</f>
        <v>N/A</v>
      </c>
      <c r="FU18" s="114" t="str">
        <f>IF(OR(COUNTIF(FT$18:FT$30,"N/A")&gt;=13,$AG$34&lt;1),"N/A",SMALL(FT$18:FT$30,1))</f>
        <v>N/A</v>
      </c>
      <c r="FV18" s="196" t="str">
        <f>IF(FU18="N/A","N/A",LOOKUP(FU18,$A$18:$A$30,$AE$18:$AE$30))</f>
        <v>N/A</v>
      </c>
      <c r="FW18" s="196" t="str">
        <f t="shared" ref="FW18:FW25" si="23">IF(FU18="N/A","N/A",LOOKUP(FU18,$A$18:$A$30,$FM$18:$FM$30))</f>
        <v>N/A</v>
      </c>
      <c r="FX18" s="227" t="str">
        <f>IF(FU18="N/A","N/A",LOOKUP(FU18,$A$18:$A$30,$FP$18:$FP$30))</f>
        <v>N/A</v>
      </c>
      <c r="FY18" s="196" t="str">
        <f>IF(FU18="N/A","N/A",LOOKUP(FU18,$A$18:$A$30,$FO$18:$FO$30))</f>
        <v>N/A</v>
      </c>
    </row>
    <row r="19" spans="1:186">
      <c r="A19" s="113">
        <v>0.29166666666666663</v>
      </c>
      <c r="B19" s="61" t="s">
        <v>159</v>
      </c>
      <c r="C19" s="4" t="s">
        <v>32</v>
      </c>
      <c r="D19" s="4">
        <f>'Input Sheet'!D37</f>
        <v>0</v>
      </c>
      <c r="E19" s="4">
        <f>'Input Sheet'!E37</f>
        <v>0</v>
      </c>
      <c r="F19" s="4">
        <f>'Input Sheet'!F37</f>
        <v>0</v>
      </c>
      <c r="G19" s="4">
        <f>'Input Sheet'!G37</f>
        <v>0</v>
      </c>
      <c r="H19" s="4">
        <f>'Input Sheet'!H37</f>
        <v>0</v>
      </c>
      <c r="I19" s="4">
        <f>'Input Sheet'!I37</f>
        <v>0</v>
      </c>
      <c r="J19" s="4">
        <f>'Input Sheet'!J37</f>
        <v>0</v>
      </c>
      <c r="K19" s="4">
        <f>'Input Sheet'!K37</f>
        <v>0</v>
      </c>
      <c r="L19" s="4">
        <f>'Input Sheet'!L37</f>
        <v>0</v>
      </c>
      <c r="M19" s="4">
        <f>'Input Sheet'!M37</f>
        <v>0</v>
      </c>
      <c r="N19" s="4">
        <f>'Input Sheet'!N37</f>
        <v>0</v>
      </c>
      <c r="O19" s="4">
        <f>'Input Sheet'!O37</f>
        <v>0</v>
      </c>
      <c r="P19" s="4">
        <f>'Input Sheet'!P37</f>
        <v>0</v>
      </c>
      <c r="Q19" s="4">
        <f>'Input Sheet'!Q37</f>
        <v>0</v>
      </c>
      <c r="R19" s="4">
        <f>'Input Sheet'!R37</f>
        <v>0</v>
      </c>
      <c r="S19" s="4">
        <f>'Input Sheet'!S37</f>
        <v>0</v>
      </c>
      <c r="U19" s="43">
        <f t="shared" ref="U19:U30" si="24">SUM(D19:F19)</f>
        <v>0</v>
      </c>
      <c r="V19" s="3">
        <f t="shared" ref="V19:V30" si="25">SUM(H19:J19)</f>
        <v>0</v>
      </c>
      <c r="W19" s="3">
        <f t="shared" ref="W19:W30" si="26">SUM(U19:V19)</f>
        <v>0</v>
      </c>
      <c r="X19" s="3">
        <f t="shared" ref="X19:X30" si="27">IF(V19&gt;U19,V19,U19)</f>
        <v>0</v>
      </c>
      <c r="Y19" s="3">
        <f t="shared" ref="Y19:Y30" si="28">SUM(L19:N19)</f>
        <v>0</v>
      </c>
      <c r="Z19" s="3">
        <f t="shared" ref="Z19:Z30" si="29">SUM(P19:R19)</f>
        <v>0</v>
      </c>
      <c r="AA19" s="3">
        <f t="shared" ref="AA19:AA30" si="30">SUM(Y19:Z19)</f>
        <v>0</v>
      </c>
      <c r="AB19" s="3">
        <f t="shared" ref="AB19:AB30" si="31">IF(Z19&gt;Y19,Z19,Y19)</f>
        <v>0</v>
      </c>
      <c r="AC19" s="55">
        <f t="shared" ref="AC19:AC30" si="32">SUM(D19:F19,H19:J19,L19:N19,P19:R19)</f>
        <v>0</v>
      </c>
      <c r="AD19" s="3"/>
      <c r="AE19" s="3">
        <f t="shared" ref="AE19:AE30" si="33">IF(IF($W$31&gt;$AA$31,$W19,$AA19)=0,0,IF($W$31&gt;$AA$31,$W19,$AA19))</f>
        <v>0</v>
      </c>
      <c r="AF19" s="3">
        <f t="shared" ref="AF19:AF30" si="34">IF(IF($W$31&gt;$AA$31,$AB19,$X19)=0,0,IF($W$31&gt;$AA$31,$AB19,$X19))</f>
        <v>0</v>
      </c>
      <c r="AG19" s="3">
        <f t="shared" si="0"/>
        <v>0</v>
      </c>
      <c r="AH19" s="3"/>
      <c r="AI19" s="3">
        <f t="shared" ref="AI19:AI30" si="35">IF(OR(AND($AE19&gt;=AI$34,$AF19&gt;=AI$38),AND($AE19&lt;AI$34,$AF19&lt;AI$38)),$AE19-AI$34+$AF19-AI$38,IF($AE19&gt;=AI$34,$AF19-AI$38,$AE19-AI$34))</f>
        <v>-455</v>
      </c>
      <c r="AJ19" s="3">
        <f t="shared" ref="AJ19:AJ30" si="36">IF(AI19&gt;AI$41,1,0)</f>
        <v>0</v>
      </c>
      <c r="AK19" s="3">
        <f t="shared" ref="AK19:AK30" si="37">IF(AI19=AI$41,$AG19,0)</f>
        <v>0</v>
      </c>
      <c r="AL19" s="3">
        <f t="shared" ref="AL19:AL30" si="38">IF(AK19&gt;AK$36,1,0)</f>
        <v>0</v>
      </c>
      <c r="AM19" s="114" t="str">
        <f>IF($AG19=0,"N/A",IF(AI19&gt;AI$41,$A19,IF(AK19&gt;AK$36,$A19,IF(AND(AK19=AK$36,COUNTIF(AK$18:AK19,AK$36)&lt;=AL$34),$A19,"N/A"))))</f>
        <v>N/A</v>
      </c>
      <c r="AN19" s="114" t="str">
        <f>IF(OR(COUNTIF(AM$18:AM$30,"N/A")&gt;=13,$AG$34&lt;2),"N/A",SMALL(AM$18:AM$30,2))</f>
        <v>N/A</v>
      </c>
      <c r="AO19" s="3" t="str">
        <f t="shared" si="1"/>
        <v>N/A</v>
      </c>
      <c r="AP19" s="3" t="str">
        <f t="shared" si="2"/>
        <v>N/A</v>
      </c>
      <c r="AQ19" s="3"/>
      <c r="AR19" s="3">
        <f t="shared" ref="AR19:AR30" si="39">IF(OR(AND($AE19&gt;=AR$34,$AF19&gt;=AR$38),AND($AE19&lt;AR$34,$AF19&lt;AR$38)),$AE19-AR$34+$AF19-AR$38,IF($AE19&gt;=AR$34,$AF19-AR$38,$AE19-AR$34))</f>
        <v>-578</v>
      </c>
      <c r="AS19" s="3">
        <f t="shared" ref="AS19:AS30" si="40">IF(AR19&gt;AR$41,1,0)</f>
        <v>0</v>
      </c>
      <c r="AT19" s="3">
        <f t="shared" ref="AT19:AT30" si="41">IF(AR19=AR$41,$AG19,0)</f>
        <v>0</v>
      </c>
      <c r="AU19" s="3">
        <f t="shared" ref="AU19:AU30" si="42">IF(AT19&gt;AT$36,1,0)</f>
        <v>0</v>
      </c>
      <c r="AV19" s="114" t="str">
        <f>IF($AG19=0,"N/A",IF(AR19&gt;AR$41,$A19,IF(AT19&gt;AT$36,$A19,IF(AND(AT19=AT$36,COUNTIF(AT$18:AT19,AT$36)&lt;=AU$34),$A19,"N/A"))))</f>
        <v>N/A</v>
      </c>
      <c r="AW19" s="114" t="str">
        <f>IF(OR(COUNTIF(AV$18:AV$30,"N/A")&gt;=13,$AG$34&lt;2),"N/A",SMALL(AV$18:AV$30,2))</f>
        <v>N/A</v>
      </c>
      <c r="AX19" s="3" t="str">
        <f t="shared" ref="AX19:AX25" si="43">IF(AW19="N/A","N/A",LOOKUP(AW19,$A$18:$A$30,$AE$18:$AE$30))</f>
        <v>N/A</v>
      </c>
      <c r="AY19" s="3" t="str">
        <f t="shared" ref="AY19:AY25" si="44">IF(AW19="N/A","N/A",LOOKUP(AW19,$A$18:$A$30,$AF$18:$AF$30))</f>
        <v>N/A</v>
      </c>
      <c r="AZ19" s="3"/>
      <c r="BA19" s="61">
        <f t="shared" ref="BA19:BA30" si="45">IF(OR(AND($AE19&gt;=BA$34,$AF19&gt;=BA$38),AND($AE19&lt;BA$34,$AF19&lt;BA$38)),$AE19-BA$34+$AF19-BA$38,IF($AE19&gt;=BA$34,$AF19-BA$38,$AE19-BA$34))</f>
        <v>-364</v>
      </c>
      <c r="BB19" s="61">
        <f t="shared" ref="BB19:BB30" si="46">IF(BA19&gt;BA$41,1,0)</f>
        <v>0</v>
      </c>
      <c r="BC19" s="61">
        <f t="shared" ref="BC19:BC30" si="47">IF(BA19=BA$41,$AG19,0)</f>
        <v>0</v>
      </c>
      <c r="BD19" s="61">
        <f t="shared" ref="BD19:BD30" si="48">IF(BC19&gt;BC$36,1,0)</f>
        <v>0</v>
      </c>
      <c r="BE19" s="113" t="str">
        <f>IF($AG19=0,"N/A",IF(BA19&gt;BA$41,$A19,IF(BC19&gt;BC$36,$A19,IF(AND(BC19=BC$36,COUNTIF(BC$18:BC19,BC$36)&lt;=BD$34),$A19,"N/A"))))</f>
        <v>N/A</v>
      </c>
      <c r="BF19" s="114" t="str">
        <f>IF(OR(COUNTIF(BE$18:BE$30,"N/A")&gt;=13,$AG$34&lt;2),"N/A",SMALL(BE$18:BE$30,2))</f>
        <v>N/A</v>
      </c>
      <c r="BG19" s="61" t="str">
        <f t="shared" si="3"/>
        <v>N/A</v>
      </c>
      <c r="BH19" s="61" t="str">
        <f t="shared" si="4"/>
        <v>N/A</v>
      </c>
      <c r="BJ19" s="61">
        <f t="shared" ref="BJ19:BJ30" si="49">IF(OR(AND($AE19&gt;=BJ$34,$AF19&gt;=BJ$38),AND($AE19&lt;BJ$34,$AF19&lt;BJ$38)),$AE19-BJ$34+$AF19-BJ$38,IF($AE19&gt;=BJ$34,$AF19-BJ$38,$AE19-BJ$34))</f>
        <v>-462</v>
      </c>
      <c r="BK19" s="61">
        <f t="shared" ref="BK19:BK30" si="50">IF(BJ19&gt;BJ$41,1,0)</f>
        <v>0</v>
      </c>
      <c r="BL19" s="61">
        <f t="shared" ref="BL19:BL30" si="51">IF(BJ19=BJ$41,$AG19,0)</f>
        <v>0</v>
      </c>
      <c r="BM19" s="61">
        <f t="shared" ref="BM19:BM30" si="52">IF(BL19&gt;$BL$36,1,0)</f>
        <v>0</v>
      </c>
      <c r="BN19" s="113" t="str">
        <f>IF($AG19=0,"N/A",IF(BJ19&gt;BJ$41,$A19,IF(BL19&gt;BL$36,$A19,IF(AND(BL19=BL$36,COUNTIF(BL$18:BL19,BL$36)&lt;=BM$34),$A19,"N/A"))))</f>
        <v>N/A</v>
      </c>
      <c r="BO19" s="114" t="str">
        <f>IF(OR(COUNTIF(BN$18:BN$30,"N/A")&gt;=13,$AG$34&lt;2),"N/A",SMALL(BN$18:BN$30,2))</f>
        <v>N/A</v>
      </c>
      <c r="BP19" s="61" t="str">
        <f t="shared" ref="BP19:BP25" si="53">IF(BO19="N/A","N/A",LOOKUP(BO19,$A$18:$A$30,$AE$18:$AE$30))</f>
        <v>N/A</v>
      </c>
      <c r="BQ19" s="61" t="str">
        <f t="shared" ref="BQ19:BQ25" si="54">IF(BO19="N/A","N/A",LOOKUP(BO19,$A$18:$A$30,$AF$18:$AF$30))</f>
        <v>N/A</v>
      </c>
      <c r="BS19" s="61">
        <f t="shared" ref="BS19:BS30" si="55">$AF19</f>
        <v>0</v>
      </c>
      <c r="BT19" s="61" t="str">
        <f>IF($BT$6="Yes",IF(AND('Pg 1'!$N$10&gt;1,'Pg 1'!$N$12&gt;1),$DJ19,IF(AND('Pg 1'!$N$10&gt;1,'Pg 1'!$N$12=1),$DL19,$DN19)),IF(AND('Pg 1'!$N$10&gt;1,'Pg 1'!$N$12&gt;1),$DB19,IF(AND('Pg 1'!$N$10&gt;1,'Pg 1'!$N$12=1),$DD19,$DF19)))</f>
        <v>N/A</v>
      </c>
      <c r="BU19" s="225" t="str">
        <f t="shared" ref="BU19:BU30" si="56">IF(OR($BS19=0,$BT19="N/A"),"No",IF($BS19&gt;=BT19+5,"Yes",IF($BS19&lt;=BT19-10,"No","Close")))</f>
        <v>No</v>
      </c>
      <c r="BV19" s="61">
        <f t="shared" ref="BV19:BV30" si="57">IF(OR(BS19=0,BT19="N/A"),-9999,+BS19-BT19)</f>
        <v>-9999</v>
      </c>
      <c r="BW19" s="61">
        <f t="shared" ref="BW19:BW30" si="58">IF(BV19&gt;BV$33,1,0)</f>
        <v>0</v>
      </c>
      <c r="BX19" s="61">
        <f t="shared" ref="BX19:BX30" si="59">IF(BV19=BV$33,$AG19,0)</f>
        <v>0</v>
      </c>
      <c r="BY19" s="61">
        <f t="shared" ref="BY19:BY30" si="60">IF(BX19&gt;BX$33,1,0)</f>
        <v>0</v>
      </c>
      <c r="BZ19" s="113" t="str">
        <f>IF($AG19=0,"N/A",IF(BV19&gt;BV$33,$A19,IF(BX19&gt;BX$36,$A19,IF(AND(BX19=BX$36,COUNTIF(BX$18:BX19,BX$36)&lt;=BY$34),$A19,"N/A"))))</f>
        <v>N/A</v>
      </c>
      <c r="CA19" s="114" t="str">
        <f>IF(OR(COUNTIF(BZ$18:BZ$30,"N/A")&gt;=13,$AG$34&lt;2),"N/A",SMALL(BZ$18:BZ$30,2))</f>
        <v>N/A</v>
      </c>
      <c r="CB19" s="61" t="str">
        <f t="shared" ref="CB19:CB25" si="61">IF(CA19="N/A","N/A",LOOKUP(CA19,$A$18:$A$30,$AE$18:$AE$30))</f>
        <v>N/A</v>
      </c>
      <c r="CC19" s="61" t="str">
        <f t="shared" ref="CC19:CC25" si="62">IF(CA19="N/A","N/A",LOOKUP(CA19,$A$18:$A$30,$AF$18:$AF$30))</f>
        <v>N/A</v>
      </c>
      <c r="CD19" s="61" t="str">
        <f t="shared" si="5"/>
        <v>N/A</v>
      </c>
      <c r="CE19" s="225" t="str">
        <f t="shared" ref="CE19:CE25" si="63">IF(CA19="N/A","N/A",LOOKUP(CA19,$A$18:$A$30,$BV$18:$BV$30))</f>
        <v>N/A</v>
      </c>
      <c r="CG19" s="61">
        <f t="shared" ref="CG19:CG30" si="64">AC19</f>
        <v>0</v>
      </c>
      <c r="CH19" s="61">
        <f t="shared" si="6"/>
        <v>-750</v>
      </c>
      <c r="CI19" s="113" t="str">
        <f t="shared" si="7"/>
        <v>N/A</v>
      </c>
      <c r="CK19" s="61">
        <f t="shared" ref="CK19:CK30" si="65">$AF19</f>
        <v>0</v>
      </c>
      <c r="CL19" s="61" t="str">
        <f>IF($BT$6="Yes",IF(AND('Pg 1'!$N$10&gt;1,'Pg 1'!$N$12&gt;1),$DZ19,IF(AND('Pg 1'!$N$10&gt;1,'Pg 1'!$N$12=1),$EB19,ED19)),IF(AND('Pg 1'!$N$10&gt;1,'Pg 1'!$N$12&gt;1),$DR19,IF(AND('Pg 1'!$N$10&gt;1,'Pg 1'!$N$12=1),$DT19,$DV19)))</f>
        <v>N/A</v>
      </c>
      <c r="CM19" s="225" t="str">
        <f t="shared" ref="CM19:CM30" si="66">IF(OR($CK19="N/A",$CL19="N/A"),"No",IF($CK19&gt;=CL19+5,"Yes",IF($CK19&lt;=CL19-10,"No","Close")))</f>
        <v>No</v>
      </c>
      <c r="CN19" s="61">
        <f t="shared" ref="CN19:CN30" si="67">IF(OR(CK19=0,CL19="N/A"),-9999,CK19-CL19)</f>
        <v>-9999</v>
      </c>
      <c r="CO19" s="61">
        <f t="shared" ref="CO19:CO30" si="68">IF(CN19&gt;CN$33,1,0)</f>
        <v>0</v>
      </c>
      <c r="CP19" s="61">
        <f t="shared" ref="CP19:CP30" si="69">IF(CN19=CN$33,$AG19,0)</f>
        <v>0</v>
      </c>
      <c r="CQ19" s="61">
        <f t="shared" ref="CQ19:CQ30" si="70">IF(CP19&gt;CP$33,1,0)</f>
        <v>0</v>
      </c>
      <c r="CR19" s="113" t="str">
        <f>IF($AG19=0,"N/A",IF(CN19&gt;CN$33,$A19,IF(CP19&gt;CP$36,$A19,IF(AND(CP19=CP$36,COUNTIF(CP$18:CP19,CP$36)&lt;=CQ$34),$A19,"N/A"))))</f>
        <v>N/A</v>
      </c>
      <c r="CS19" s="114" t="str">
        <f>IF(OR(COUNTIF(CR$18:CR$30,"N/A")&gt;=13,$AG$34&lt;2),"N/A",SMALL(CR$18:CR$30,2))</f>
        <v>N/A</v>
      </c>
      <c r="CT19" s="61" t="str">
        <f t="shared" ref="CT19:CT25" si="71">IF(CS19="N/A","N/A",LOOKUP(CS19,$A$18:$A$30,$AE$18:$AE$30))</f>
        <v>N/A</v>
      </c>
      <c r="CU19" s="61" t="str">
        <f t="shared" ref="CU19:CU25" si="72">IF(CS19="N/A","N/A",LOOKUP(CS19,$A$18:$A$30,$AF$18:$AF$30))</f>
        <v>N/A</v>
      </c>
      <c r="CV19" s="61" t="str">
        <f t="shared" si="8"/>
        <v>N/A</v>
      </c>
      <c r="CW19" s="225" t="str">
        <f t="shared" ref="CW19:CW25" si="73">IF(CS19="N/A","N/A",LOOKUP(CS19,$A$18:$A$30,$CN$18:$CN$30))</f>
        <v>N/A</v>
      </c>
      <c r="CZ19" s="80">
        <f t="shared" ref="CZ19:CZ30" si="74">$AE19</f>
        <v>0</v>
      </c>
      <c r="DA19" s="80"/>
      <c r="DB19" s="80" t="str">
        <f t="shared" ref="DB19:DB30" si="75">IF($CZ19&lt;DB$5,"N/A",IF(AND($CZ19&gt;=DB$5,$CZ19&lt;=DB$8),DB$9^($CZ19-DB$5)*DB$4*$CZ$14,DB$6*$CZ$14))</f>
        <v>N/A</v>
      </c>
      <c r="DC19" s="80"/>
      <c r="DD19" s="80" t="str">
        <f t="shared" ref="DD19:DD30" si="76">IF($CZ19&lt;DD$5,"N/A",IF(AND($CZ19&gt;=DD$5,$CZ19&lt;=DD$8),DD$9^($CZ19-DD$5)*DD$4*$CZ$14,DD$6*$CZ$14))</f>
        <v>N/A</v>
      </c>
      <c r="DE19" s="80"/>
      <c r="DF19" s="80" t="str">
        <f t="shared" ref="DF19:DF30" si="77">IF($CZ19&lt;DF$5,"N/A",IF(AND($CZ19&gt;=DF$5,$CZ19&lt;=DF$8),DF$9^($CZ19-DF$5)*DF$4*$CZ$14,DF$6*$CZ$14))</f>
        <v>N/A</v>
      </c>
      <c r="DG19" s="80"/>
      <c r="DH19" s="80">
        <f t="shared" ref="DH19:DH30" si="78">AE19</f>
        <v>0</v>
      </c>
      <c r="DI19" s="80"/>
      <c r="DJ19" s="80" t="str">
        <f t="shared" ref="DJ19:DJ30" si="79">IF($CZ19&lt;DJ$5,"N/A",IF(AND($CZ19&gt;=DJ$5,$CZ19&lt;=DJ$8),DJ$9^($CZ19-DJ$5)*DJ$4*$DH$14,DJ$6*$DH$14))</f>
        <v>N/A</v>
      </c>
      <c r="DK19" s="80"/>
      <c r="DL19" s="80" t="str">
        <f t="shared" ref="DL19:DL30" si="80">IF($CZ19&lt;DL$5,"N/A",IF(AND($CZ19&gt;=DL$5,$CZ19&lt;=DL$8),DL$9^($CZ19-DL$5)*DL$4*$DH$14,DL$6*$DH$14))</f>
        <v>N/A</v>
      </c>
      <c r="DM19" s="80"/>
      <c r="DN19" s="80" t="str">
        <f t="shared" ref="DN19:DN30" si="81">IF($CZ19&lt;DN$5,"N/A",IF(AND($CZ19&gt;=DN$5,$CZ19&lt;=DN$8),DN$9^($CZ19-DN$5)*DN$4*$DH$14,DN$6*$DH$14))</f>
        <v>N/A</v>
      </c>
      <c r="DO19" s="80"/>
      <c r="DP19" s="80">
        <f t="shared" ref="DP19:DP30" si="82">AE19</f>
        <v>0</v>
      </c>
      <c r="DQ19" s="80"/>
      <c r="DR19" s="80" t="str">
        <f t="shared" ref="DR19:DR30" si="83">IF($DP19&lt;DR$5,"N/A",IF(AND($DP19&gt;=DR$5,$DP19&lt;=DR$8),DR$9^($DP19-DR$5)*DR$4*$DP$14,DR$6*$DP$14))</f>
        <v>N/A</v>
      </c>
      <c r="DS19" s="80"/>
      <c r="DT19" s="80" t="str">
        <f t="shared" ref="DT19:DT30" si="84">IF($DP19&lt;DT$5,"N/A",IF(AND($DP19&gt;=DT$5,$DP19&lt;=DT$8),DT$9^($DP19-DT$5)*DT$4*$DP$14,DT$6*$DP$14))</f>
        <v>N/A</v>
      </c>
      <c r="DU19" s="80"/>
      <c r="DV19" s="80" t="str">
        <f t="shared" ref="DV19:DV30" si="85">IF($DP19&lt;DV$5,"N/A",IF(AND($DP19&gt;=DV$5,$DP19&lt;=DV$8),DV$9^($DP19-DV$5)*DV$4*$DP$14,DV$6*$DP$14))</f>
        <v>N/A</v>
      </c>
      <c r="DW19" s="80"/>
      <c r="DX19" s="80">
        <f t="shared" ref="DX19:DX30" si="86">AE19</f>
        <v>0</v>
      </c>
      <c r="DY19" s="80"/>
      <c r="DZ19" s="80" t="str">
        <f t="shared" ref="DZ19:DZ30" si="87">IF($DP19&lt;DZ$5,"N/A",IF(AND($DP19&gt;=DZ$5,$DP19&lt;=DZ$8),DZ$9^($DP19-DZ$5)*DZ$4*$DX$14,DZ$6*$DX$14))</f>
        <v>N/A</v>
      </c>
      <c r="EA19" s="80"/>
      <c r="EB19" s="80" t="str">
        <f t="shared" ref="EB19:EB30" si="88">IF($DP19&lt;EB$5,"N/A",IF(AND($DP19&gt;=EB$5,$DP19&lt;=EB$8),EB$9^($DP19-EB$5)*EB$4*$DX$14,EB$6*$DX$14))</f>
        <v>N/A</v>
      </c>
      <c r="EC19" s="80"/>
      <c r="ED19" s="80" t="str">
        <f t="shared" ref="ED19:ED30" si="89">IF($DP19&lt;ED$5,"N/A",IF(AND($DP19&gt;=ED$5,$DP19&lt;=ED$8),ED$9^($DP19-ED$5)*ED$4*$DX$14,ED$6*$DX$14))</f>
        <v>N/A</v>
      </c>
      <c r="EF19" s="61"/>
      <c r="EG19" s="61">
        <f t="shared" ref="EG19:EG30" si="90">AE19</f>
        <v>0</v>
      </c>
      <c r="EH19" s="61">
        <f t="shared" ref="EH19:EH30" si="91">IF(AC19=0,0,IF(W$31&gt;AA$31,O19+S19,G19+K19))</f>
        <v>0</v>
      </c>
      <c r="EI19" s="80" t="str">
        <f t="shared" si="9"/>
        <v>N/A</v>
      </c>
      <c r="EJ19" s="227" t="str">
        <f t="shared" ref="EJ19:EJ30" si="92">IF(OR($EH19=0,EI19="N/A"),"No",IF($EH19&gt;=EI19+5,"Yes",IF($EH19&lt;=EI19-8,"No","Close")))</f>
        <v>No</v>
      </c>
      <c r="EK19" s="121" t="str">
        <f t="shared" si="10"/>
        <v>No</v>
      </c>
      <c r="EL19" s="80" t="str">
        <f t="shared" si="11"/>
        <v>N/A</v>
      </c>
      <c r="EM19" s="227" t="str">
        <f t="shared" ref="EM19:EM30" si="93">IF(OR($EH19=0,EL19="N/A"),"No",IF($EH19&gt;=EL19+5,"Yes",IF($EH19&lt;=EL19-8,"No","Close")))</f>
        <v>No</v>
      </c>
      <c r="EN19" s="121" t="str">
        <f t="shared" si="12"/>
        <v>No</v>
      </c>
      <c r="EO19" s="80" t="str">
        <f t="shared" ref="EO19:EO30" si="94">IF($EG19&lt;EO$4,"N/A",IF($EG19&gt;=EO$6,EO$5,3.1979*($EG19/100-2)^2-94.194*($EG19/100-2)+821.69))</f>
        <v>N/A</v>
      </c>
      <c r="EP19" s="227" t="str">
        <f t="shared" ref="EP19:EP30" si="95">IF(OR($EH19=0,EO19="N/A"),"No",IF($EH19&gt;=EO19+5,"Yes",IF($EH19&lt;=EO19-8,"No","Close")))</f>
        <v>No</v>
      </c>
      <c r="EQ19" s="121" t="str">
        <f t="shared" si="13"/>
        <v>No</v>
      </c>
      <c r="ER19" s="80" t="str">
        <f t="shared" si="14"/>
        <v>N/A</v>
      </c>
      <c r="ES19" s="227" t="str">
        <f t="shared" ref="ES19:ES30" si="96">IF(OR($EH19=0,ER19="N/A"),"No",IF($EH19&gt;=ER19+5,"Yes",IF($EH19&lt;=ER19-8,"No","Close")))</f>
        <v>No</v>
      </c>
      <c r="ET19" s="121" t="str">
        <f t="shared" si="15"/>
        <v>No</v>
      </c>
      <c r="EU19" s="199">
        <f t="shared" ref="EU19:EU30" si="97">IF($EG19=0,-9999,IF($EH$6="No",IF(EI19="N/A",-9999,$EH19-EI19),IF(EL19="N/A",-9999,$EH19-EL19)))</f>
        <v>-9999</v>
      </c>
      <c r="EV19" s="199">
        <f t="shared" ref="EV19:EV30" si="98">IF($EG19=0,-9999,IF($EH$6="No",IF(EO19="N/A",-9999,$EH19-EO19),IF(ER19="N/A",-9999,$EH19-ER19)))</f>
        <v>-9999</v>
      </c>
      <c r="EW19" s="200">
        <f t="shared" ref="EW19:EW30" si="99">IF(EU19&gt;EU$33,1,0)</f>
        <v>0</v>
      </c>
      <c r="EX19" s="200">
        <f t="shared" ref="EX19:EX30" si="100">IF(EV19&gt;EV$33,1,0)</f>
        <v>0</v>
      </c>
      <c r="EY19" s="200">
        <f t="shared" ref="EY19:EY30" si="101">IF(EU19=$EU$33,EG19+EH19,0)</f>
        <v>0</v>
      </c>
      <c r="EZ19" s="61">
        <f t="shared" ref="EZ19:EZ30" si="102">IF(EY19&gt;EY$33,1,0)</f>
        <v>0</v>
      </c>
      <c r="FA19" s="113" t="str">
        <f>IF(EG19=0,"N/A",IF(EU19&gt;EU$33,A19,IF(EY19&gt;EY$33,A19,IF(AND(EY19=EY$33,COUNTIF(EY$18:EY19,EY$33)&lt;=EZ$35),A19,"N/A"))))</f>
        <v>N/A</v>
      </c>
      <c r="FB19" s="114" t="str">
        <f>IF(OR(COUNTIF(FA$18:FA$30,"N/A")&gt;=13,$AG$34&lt;2),"N/A",SMALL(FA$18:FA$30,2))</f>
        <v>N/A</v>
      </c>
      <c r="FC19" s="61" t="str">
        <f t="shared" si="16"/>
        <v>N/A</v>
      </c>
      <c r="FD19" s="61" t="str">
        <f t="shared" si="17"/>
        <v>N/A</v>
      </c>
      <c r="FE19" s="61" t="str">
        <f t="shared" si="18"/>
        <v>N/A</v>
      </c>
      <c r="FF19" s="61" t="str">
        <f t="shared" si="19"/>
        <v>N/A</v>
      </c>
      <c r="FG19" s="227" t="str">
        <f t="shared" ref="FG19:FG25" si="103">IF(FB19="N/A","N/A",LOOKUP(FB19,$A$18:$A$30,$EU$18:$EU$30))</f>
        <v>N/A</v>
      </c>
      <c r="FH19" s="227" t="str">
        <f t="shared" ref="FH19:FH25" si="104">IF(FB19="N/A","N/A",LOOKUP(FB19,$A$18:$A$30,$EV$18:$EV$30))</f>
        <v>N/A</v>
      </c>
      <c r="FK19" s="158">
        <f t="shared" ref="FK19:FK30" si="105">AE19</f>
        <v>0</v>
      </c>
      <c r="FL19" s="158" t="str">
        <f>IF('Wrnt 9 Input'!$D$9="Northbound",Worksheet!U19,IF('Wrnt 9 Input'!$D$9="Southbound",Worksheet!V19,IF('Wrnt 9 Input'!$D$9="Eastbound",Worksheet!Y19,IF('Wrnt 9 Input'!$D$9="Westbound",Worksheet!Z19,"N/A"))))</f>
        <v>N/A</v>
      </c>
      <c r="FM19" s="200">
        <f t="shared" ref="FM19:FM30" si="106">IF(FL19="N/A",0,ROUND(FL19*$FL$88*$FL$98*$FL$106,0))</f>
        <v>0</v>
      </c>
      <c r="FN19" s="184" t="str">
        <f>IF('Wrnt 9 Input'!$B$13&lt;40,FL41,IF('Wrnt 9 Input'!$B$13&lt;60,FN41,IF('Wrnt 9 Input'!$B$13&lt;80,FP41,IF('Wrnt 9 Input'!$B$13&lt;100,FR41,IF('Wrnt 9 Input'!$B$13&lt;120,FT41,IF('Wrnt 9 Input'!$B$13&lt;=140,FV41,"N/A"))))))</f>
        <v>N/A</v>
      </c>
      <c r="FO19" s="227" t="str">
        <f t="shared" ref="FO19:FO30" si="107">IF(OR($FM19=0,$FN19="N/A"),"No",IF($FM19&gt;=FN19+3,"Yes",IF($FM19&lt;=FN19-3,"No","Close")))</f>
        <v>No</v>
      </c>
      <c r="FP19" s="196">
        <f t="shared" si="20"/>
        <v>-9999</v>
      </c>
      <c r="FQ19" s="196">
        <f t="shared" si="21"/>
        <v>0</v>
      </c>
      <c r="FR19" s="199">
        <f t="shared" ref="FR19:FR30" si="108">IF(FP19=FP$33,FK19+FM19,0)</f>
        <v>0</v>
      </c>
      <c r="FS19" s="196">
        <f t="shared" si="22"/>
        <v>0</v>
      </c>
      <c r="FT19" s="113" t="str">
        <f>IF($AG19=0,"N/A",IF(FP19&gt;FP$33,$A19,IF(FR19&gt;FR$36,$A19,IF(AND(FR19=FR$36,COUNTIF(FR$18:FR19,FR$36)&lt;=FS$34),$A19,"N/A"))))</f>
        <v>N/A</v>
      </c>
      <c r="FU19" s="114" t="str">
        <f>IF(OR(COUNTIF(FT$18:FT$30,"N/A")&gt;=13,$AG$34&lt;2),"N/A",SMALL(FT$18:FT$30,2))</f>
        <v>N/A</v>
      </c>
      <c r="FV19" s="196" t="str">
        <f t="shared" ref="FV19:FV25" si="109">IF(FU19="N/A","N/A",LOOKUP(FU19,$A$18:$A$30,$AE$18:$AE$30))</f>
        <v>N/A</v>
      </c>
      <c r="FW19" s="196" t="str">
        <f t="shared" si="23"/>
        <v>N/A</v>
      </c>
      <c r="FX19" s="227" t="str">
        <f t="shared" ref="FX19:FX25" si="110">IF(FU19="N/A","N/A",LOOKUP(FU19,$A$18:$A$30,$FP$18:$FP$30))</f>
        <v>N/A</v>
      </c>
      <c r="FY19" s="196" t="str">
        <f t="shared" ref="FY19:FY25" si="111">IF(FU19="N/A","N/A",LOOKUP(FU19,$A$18:$A$30,$FO$18:$FO$30))</f>
        <v>N/A</v>
      </c>
    </row>
    <row r="20" spans="1:186">
      <c r="A20" s="113">
        <v>0.33333333333333331</v>
      </c>
      <c r="B20" s="61" t="s">
        <v>79</v>
      </c>
      <c r="C20" s="4" t="s">
        <v>33</v>
      </c>
      <c r="D20" s="4">
        <f>'Input Sheet'!D38</f>
        <v>0</v>
      </c>
      <c r="E20" s="4">
        <f>'Input Sheet'!E38</f>
        <v>0</v>
      </c>
      <c r="F20" s="4">
        <f>'Input Sheet'!F38</f>
        <v>0</v>
      </c>
      <c r="G20" s="4">
        <f>'Input Sheet'!G38</f>
        <v>0</v>
      </c>
      <c r="H20" s="4">
        <f>'Input Sheet'!H38</f>
        <v>0</v>
      </c>
      <c r="I20" s="4">
        <f>'Input Sheet'!I38</f>
        <v>0</v>
      </c>
      <c r="J20" s="4">
        <f>'Input Sheet'!J38</f>
        <v>0</v>
      </c>
      <c r="K20" s="4">
        <f>'Input Sheet'!K38</f>
        <v>0</v>
      </c>
      <c r="L20" s="4">
        <f>'Input Sheet'!L38</f>
        <v>0</v>
      </c>
      <c r="M20" s="4">
        <f>'Input Sheet'!M38</f>
        <v>0</v>
      </c>
      <c r="N20" s="4">
        <f>'Input Sheet'!N38</f>
        <v>0</v>
      </c>
      <c r="O20" s="4">
        <f>'Input Sheet'!O38</f>
        <v>0</v>
      </c>
      <c r="P20" s="4">
        <f>'Input Sheet'!P38</f>
        <v>0</v>
      </c>
      <c r="Q20" s="4">
        <f>'Input Sheet'!Q38</f>
        <v>0</v>
      </c>
      <c r="R20" s="4">
        <f>'Input Sheet'!R38</f>
        <v>0</v>
      </c>
      <c r="S20" s="4">
        <f>'Input Sheet'!S38</f>
        <v>0</v>
      </c>
      <c r="U20" s="43">
        <f t="shared" si="24"/>
        <v>0</v>
      </c>
      <c r="V20" s="3">
        <f t="shared" si="25"/>
        <v>0</v>
      </c>
      <c r="W20" s="3">
        <f t="shared" si="26"/>
        <v>0</v>
      </c>
      <c r="X20" s="3">
        <f t="shared" si="27"/>
        <v>0</v>
      </c>
      <c r="Y20" s="3">
        <f t="shared" si="28"/>
        <v>0</v>
      </c>
      <c r="Z20" s="3">
        <f t="shared" si="29"/>
        <v>0</v>
      </c>
      <c r="AA20" s="3">
        <f t="shared" si="30"/>
        <v>0</v>
      </c>
      <c r="AB20" s="3">
        <f t="shared" si="31"/>
        <v>0</v>
      </c>
      <c r="AC20" s="55">
        <f t="shared" si="32"/>
        <v>0</v>
      </c>
      <c r="AD20" s="3"/>
      <c r="AE20" s="3">
        <f t="shared" si="33"/>
        <v>0</v>
      </c>
      <c r="AF20" s="3">
        <f t="shared" si="34"/>
        <v>0</v>
      </c>
      <c r="AG20" s="3">
        <f t="shared" si="0"/>
        <v>0</v>
      </c>
      <c r="AH20" s="3"/>
      <c r="AI20" s="3">
        <f t="shared" si="35"/>
        <v>-455</v>
      </c>
      <c r="AJ20" s="3">
        <f t="shared" si="36"/>
        <v>0</v>
      </c>
      <c r="AK20" s="3">
        <f t="shared" si="37"/>
        <v>0</v>
      </c>
      <c r="AL20" s="3">
        <f t="shared" si="38"/>
        <v>0</v>
      </c>
      <c r="AM20" s="114" t="str">
        <f>IF($AG20=0,"N/A",IF(AI20&gt;AI$41,$A20,IF(AK20&gt;AK$36,$A20,IF(AND(AK20=AK$36,COUNTIF(AK$18:AK20,AK$36)&lt;=AL$34),$A20,"N/A"))))</f>
        <v>N/A</v>
      </c>
      <c r="AN20" s="114" t="str">
        <f>IF(OR(COUNTIF(AM$18:AM$30,"N/A")&gt;=13,$AG$34&lt;3),"N/A",SMALL(AM$18:AM$30,3))</f>
        <v>N/A</v>
      </c>
      <c r="AO20" s="3" t="str">
        <f t="shared" si="1"/>
        <v>N/A</v>
      </c>
      <c r="AP20" s="3" t="str">
        <f t="shared" si="2"/>
        <v>N/A</v>
      </c>
      <c r="AQ20" s="3"/>
      <c r="AR20" s="3">
        <f t="shared" si="39"/>
        <v>-578</v>
      </c>
      <c r="AS20" s="3">
        <f t="shared" si="40"/>
        <v>0</v>
      </c>
      <c r="AT20" s="3">
        <f t="shared" si="41"/>
        <v>0</v>
      </c>
      <c r="AU20" s="3">
        <f t="shared" si="42"/>
        <v>0</v>
      </c>
      <c r="AV20" s="114" t="str">
        <f>IF($AG20=0,"N/A",IF(AR20&gt;AR$41,$A20,IF(AT20&gt;AT$36,$A20,IF(AND(AT20=AT$36,COUNTIF(AT$18:AT20,AT$36)&lt;=AU$34),$A20,"N/A"))))</f>
        <v>N/A</v>
      </c>
      <c r="AW20" s="114" t="str">
        <f>IF(OR(COUNTIF(AV$18:AV$30,"N/A")&gt;=13,$AG$34&lt;3),"N/A",SMALL(AV$18:AV$30,3))</f>
        <v>N/A</v>
      </c>
      <c r="AX20" s="3" t="str">
        <f t="shared" si="43"/>
        <v>N/A</v>
      </c>
      <c r="AY20" s="3" t="str">
        <f t="shared" si="44"/>
        <v>N/A</v>
      </c>
      <c r="AZ20" s="3"/>
      <c r="BA20" s="61">
        <f t="shared" si="45"/>
        <v>-364</v>
      </c>
      <c r="BB20" s="61">
        <f t="shared" si="46"/>
        <v>0</v>
      </c>
      <c r="BC20" s="61">
        <f t="shared" si="47"/>
        <v>0</v>
      </c>
      <c r="BD20" s="61">
        <f t="shared" si="48"/>
        <v>0</v>
      </c>
      <c r="BE20" s="113" t="str">
        <f>IF($AG20=0,"N/A",IF(BA20&gt;BA$41,$A20,IF(BC20&gt;BC$36,$A20,IF(AND(BC20=BC$36,COUNTIF(BC$18:BC20,BC$36)&lt;=BD$34),$A20,"N/A"))))</f>
        <v>N/A</v>
      </c>
      <c r="BF20" s="114" t="str">
        <f>IF(OR(COUNTIF(BE$18:BE$30,"N/A")&gt;=13,$AG$34&lt;3),"N/A",SMALL(BE$18:BE$30,3))</f>
        <v>N/A</v>
      </c>
      <c r="BG20" s="61" t="str">
        <f t="shared" si="3"/>
        <v>N/A</v>
      </c>
      <c r="BH20" s="61" t="str">
        <f t="shared" si="4"/>
        <v>N/A</v>
      </c>
      <c r="BJ20" s="61">
        <f t="shared" si="49"/>
        <v>-462</v>
      </c>
      <c r="BK20" s="61">
        <f t="shared" si="50"/>
        <v>0</v>
      </c>
      <c r="BL20" s="61">
        <f t="shared" si="51"/>
        <v>0</v>
      </c>
      <c r="BM20" s="61">
        <f t="shared" si="52"/>
        <v>0</v>
      </c>
      <c r="BN20" s="113" t="str">
        <f>IF($AG20=0,"N/A",IF(BJ20&gt;BJ$41,$A20,IF(BL20&gt;BL$36,$A20,IF(AND(BL20=BL$36,COUNTIF(BL$18:BL20,BL$36)&lt;=BM$34),$A20,"N/A"))))</f>
        <v>N/A</v>
      </c>
      <c r="BO20" s="114" t="str">
        <f>IF(OR(COUNTIF(BN$18:BN$30,"N/A")&gt;=13,$AG$34&lt;3),"N/A",SMALL(BN$18:BN$30,3))</f>
        <v>N/A</v>
      </c>
      <c r="BP20" s="61" t="str">
        <f t="shared" si="53"/>
        <v>N/A</v>
      </c>
      <c r="BQ20" s="61" t="str">
        <f t="shared" si="54"/>
        <v>N/A</v>
      </c>
      <c r="BS20" s="61">
        <f t="shared" si="55"/>
        <v>0</v>
      </c>
      <c r="BT20" s="61" t="str">
        <f>IF($BT$6="Yes",IF(AND('Pg 1'!$N$10&gt;1,'Pg 1'!$N$12&gt;1),$DJ20,IF(AND('Pg 1'!$N$10&gt;1,'Pg 1'!$N$12=1),$DL20,$DN20)),IF(AND('Pg 1'!$N$10&gt;1,'Pg 1'!$N$12&gt;1),$DB20,IF(AND('Pg 1'!$N$10&gt;1,'Pg 1'!$N$12=1),$DD20,$DF20)))</f>
        <v>N/A</v>
      </c>
      <c r="BU20" s="225" t="str">
        <f t="shared" si="56"/>
        <v>No</v>
      </c>
      <c r="BV20" s="61">
        <f t="shared" si="57"/>
        <v>-9999</v>
      </c>
      <c r="BW20" s="61">
        <f t="shared" si="58"/>
        <v>0</v>
      </c>
      <c r="BX20" s="61">
        <f t="shared" si="59"/>
        <v>0</v>
      </c>
      <c r="BY20" s="61">
        <f t="shared" si="60"/>
        <v>0</v>
      </c>
      <c r="BZ20" s="113" t="str">
        <f>IF($AG20=0,"N/A",IF(BV20&gt;BV$33,$A20,IF(BX20&gt;BX$36,$A20,IF(AND(BX20=BX$36,COUNTIF(BX$18:BX20,BX$36)&lt;=BY$34),$A20,"N/A"))))</f>
        <v>N/A</v>
      </c>
      <c r="CA20" s="114" t="str">
        <f>IF(OR(COUNTIF(BZ$18:BZ$30,"N/A")&gt;=13,$AG$34&lt;3),"N/A",SMALL(BZ$18:BZ$30,3))</f>
        <v>N/A</v>
      </c>
      <c r="CB20" s="61" t="str">
        <f t="shared" si="61"/>
        <v>N/A</v>
      </c>
      <c r="CC20" s="61" t="str">
        <f t="shared" si="62"/>
        <v>N/A</v>
      </c>
      <c r="CD20" s="61" t="str">
        <f t="shared" si="5"/>
        <v>N/A</v>
      </c>
      <c r="CE20" s="225" t="str">
        <f t="shared" si="63"/>
        <v>N/A</v>
      </c>
      <c r="CG20" s="61">
        <f t="shared" si="64"/>
        <v>0</v>
      </c>
      <c r="CH20" s="61">
        <f t="shared" si="6"/>
        <v>-750</v>
      </c>
      <c r="CI20" s="113" t="str">
        <f t="shared" si="7"/>
        <v>N/A</v>
      </c>
      <c r="CK20" s="61">
        <f t="shared" si="65"/>
        <v>0</v>
      </c>
      <c r="CL20" s="61" t="str">
        <f>IF($BT$6="Yes",IF(AND('Pg 1'!$N$10&gt;1,'Pg 1'!$N$12&gt;1),$DZ20,IF(AND('Pg 1'!$N$10&gt;1,'Pg 1'!$N$12=1),$EB20,ED20)),IF(AND('Pg 1'!$N$10&gt;1,'Pg 1'!$N$12&gt;1),$DR20,IF(AND('Pg 1'!$N$10&gt;1,'Pg 1'!$N$12=1),$DT20,$DV20)))</f>
        <v>N/A</v>
      </c>
      <c r="CM20" s="225" t="str">
        <f t="shared" si="66"/>
        <v>No</v>
      </c>
      <c r="CN20" s="61">
        <f t="shared" si="67"/>
        <v>-9999</v>
      </c>
      <c r="CO20" s="61">
        <f t="shared" si="68"/>
        <v>0</v>
      </c>
      <c r="CP20" s="61">
        <f t="shared" si="69"/>
        <v>0</v>
      </c>
      <c r="CQ20" s="61">
        <f t="shared" si="70"/>
        <v>0</v>
      </c>
      <c r="CR20" s="113" t="str">
        <f>IF($AG20=0,"N/A",IF(CN20&gt;CN$33,$A20,IF(CP20&gt;CP$36,$A20,IF(AND(CP20=CP$36,COUNTIF(CP$18:CP20,CP$36)&lt;=CQ$34),$A20,"N/A"))))</f>
        <v>N/A</v>
      </c>
      <c r="CS20" s="114" t="str">
        <f>IF(OR(COUNTIF(CR$18:CR$30,"N/A")&gt;=13,$AG$34&lt;3),"N/A",SMALL(CR$18:CR$30,3))</f>
        <v>N/A</v>
      </c>
      <c r="CT20" s="61" t="str">
        <f t="shared" si="71"/>
        <v>N/A</v>
      </c>
      <c r="CU20" s="61" t="str">
        <f t="shared" si="72"/>
        <v>N/A</v>
      </c>
      <c r="CV20" s="61" t="str">
        <f t="shared" si="8"/>
        <v>N/A</v>
      </c>
      <c r="CW20" s="225" t="str">
        <f t="shared" si="73"/>
        <v>N/A</v>
      </c>
      <c r="CZ20" s="80">
        <f t="shared" si="74"/>
        <v>0</v>
      </c>
      <c r="DA20" s="80"/>
      <c r="DB20" s="80" t="str">
        <f t="shared" si="75"/>
        <v>N/A</v>
      </c>
      <c r="DC20" s="80"/>
      <c r="DD20" s="80" t="str">
        <f t="shared" si="76"/>
        <v>N/A</v>
      </c>
      <c r="DE20" s="80"/>
      <c r="DF20" s="80" t="str">
        <f t="shared" si="77"/>
        <v>N/A</v>
      </c>
      <c r="DG20" s="80"/>
      <c r="DH20" s="80">
        <f t="shared" si="78"/>
        <v>0</v>
      </c>
      <c r="DI20" s="80"/>
      <c r="DJ20" s="80" t="str">
        <f t="shared" si="79"/>
        <v>N/A</v>
      </c>
      <c r="DK20" s="80"/>
      <c r="DL20" s="80" t="str">
        <f t="shared" si="80"/>
        <v>N/A</v>
      </c>
      <c r="DM20" s="80"/>
      <c r="DN20" s="80" t="str">
        <f t="shared" si="81"/>
        <v>N/A</v>
      </c>
      <c r="DO20" s="80"/>
      <c r="DP20" s="80">
        <f t="shared" si="82"/>
        <v>0</v>
      </c>
      <c r="DQ20" s="80"/>
      <c r="DR20" s="80" t="str">
        <f t="shared" si="83"/>
        <v>N/A</v>
      </c>
      <c r="DS20" s="80"/>
      <c r="DT20" s="80" t="str">
        <f t="shared" si="84"/>
        <v>N/A</v>
      </c>
      <c r="DU20" s="80"/>
      <c r="DV20" s="80" t="str">
        <f t="shared" si="85"/>
        <v>N/A</v>
      </c>
      <c r="DW20" s="80"/>
      <c r="DX20" s="80">
        <f t="shared" si="86"/>
        <v>0</v>
      </c>
      <c r="DY20" s="80"/>
      <c r="DZ20" s="80" t="str">
        <f t="shared" si="87"/>
        <v>N/A</v>
      </c>
      <c r="EA20" s="80"/>
      <c r="EB20" s="80" t="str">
        <f t="shared" si="88"/>
        <v>N/A</v>
      </c>
      <c r="EC20" s="80"/>
      <c r="ED20" s="80" t="str">
        <f t="shared" si="89"/>
        <v>N/A</v>
      </c>
      <c r="EF20" s="61"/>
      <c r="EG20" s="61">
        <f t="shared" si="90"/>
        <v>0</v>
      </c>
      <c r="EH20" s="61">
        <f t="shared" si="91"/>
        <v>0</v>
      </c>
      <c r="EI20" s="80" t="str">
        <f t="shared" si="9"/>
        <v>N/A</v>
      </c>
      <c r="EJ20" s="227" t="str">
        <f t="shared" si="92"/>
        <v>No</v>
      </c>
      <c r="EK20" s="121" t="str">
        <f t="shared" si="10"/>
        <v>No</v>
      </c>
      <c r="EL20" s="80" t="str">
        <f t="shared" si="11"/>
        <v>N/A</v>
      </c>
      <c r="EM20" s="227" t="str">
        <f t="shared" si="93"/>
        <v>No</v>
      </c>
      <c r="EN20" s="121" t="str">
        <f t="shared" si="12"/>
        <v>No</v>
      </c>
      <c r="EO20" s="80" t="str">
        <f t="shared" si="94"/>
        <v>N/A</v>
      </c>
      <c r="EP20" s="227" t="str">
        <f t="shared" si="95"/>
        <v>No</v>
      </c>
      <c r="EQ20" s="121" t="str">
        <f t="shared" si="13"/>
        <v>No</v>
      </c>
      <c r="ER20" s="80" t="str">
        <f t="shared" si="14"/>
        <v>N/A</v>
      </c>
      <c r="ES20" s="227" t="str">
        <f t="shared" si="96"/>
        <v>No</v>
      </c>
      <c r="ET20" s="121" t="str">
        <f t="shared" si="15"/>
        <v>No</v>
      </c>
      <c r="EU20" s="199">
        <f t="shared" si="97"/>
        <v>-9999</v>
      </c>
      <c r="EV20" s="199">
        <f t="shared" si="98"/>
        <v>-9999</v>
      </c>
      <c r="EW20" s="200">
        <f t="shared" si="99"/>
        <v>0</v>
      </c>
      <c r="EX20" s="200">
        <f t="shared" si="100"/>
        <v>0</v>
      </c>
      <c r="EY20" s="200">
        <f t="shared" si="101"/>
        <v>0</v>
      </c>
      <c r="EZ20" s="61">
        <f t="shared" si="102"/>
        <v>0</v>
      </c>
      <c r="FA20" s="113" t="str">
        <f>IF(EG20=0,"N/A",IF(EU20&gt;EU$33,A20,IF(EY20&gt;EY$33,A20,IF(AND(EY20=EY$33,COUNTIF(EY$18:EY20,EY$33)&lt;=EZ$35),A20,"N/A"))))</f>
        <v>N/A</v>
      </c>
      <c r="FB20" s="114" t="str">
        <f>IF(OR(COUNTIF(FA$18:FA$30,"N/A")&gt;=13,$AG$34&lt;3),"N/A",SMALL(FA$18:FA$30,3))</f>
        <v>N/A</v>
      </c>
      <c r="FC20" s="61" t="str">
        <f t="shared" si="16"/>
        <v>N/A</v>
      </c>
      <c r="FD20" s="61" t="str">
        <f t="shared" si="17"/>
        <v>N/A</v>
      </c>
      <c r="FE20" s="61" t="str">
        <f t="shared" si="18"/>
        <v>N/A</v>
      </c>
      <c r="FF20" s="61" t="str">
        <f t="shared" si="19"/>
        <v>N/A</v>
      </c>
      <c r="FG20" s="227" t="str">
        <f t="shared" si="103"/>
        <v>N/A</v>
      </c>
      <c r="FH20" s="227" t="str">
        <f t="shared" si="104"/>
        <v>N/A</v>
      </c>
      <c r="FK20" s="158">
        <f t="shared" si="105"/>
        <v>0</v>
      </c>
      <c r="FL20" s="158" t="str">
        <f>IF('Wrnt 9 Input'!$D$9="Northbound",Worksheet!U20,IF('Wrnt 9 Input'!$D$9="Southbound",Worksheet!V20,IF('Wrnt 9 Input'!$D$9="Eastbound",Worksheet!Y20,IF('Wrnt 9 Input'!$D$9="Westbound",Worksheet!Z20,"N/A"))))</f>
        <v>N/A</v>
      </c>
      <c r="FM20" s="200">
        <f t="shared" si="106"/>
        <v>0</v>
      </c>
      <c r="FN20" s="184" t="str">
        <f>IF('Wrnt 9 Input'!$B$13&lt;40,FL42,IF('Wrnt 9 Input'!$B$13&lt;60,FN42,IF('Wrnt 9 Input'!$B$13&lt;80,FP42,IF('Wrnt 9 Input'!$B$13&lt;100,FR42,IF('Wrnt 9 Input'!$B$13&lt;120,FT42,IF('Wrnt 9 Input'!$B$13&lt;=140,FV42,"N/A"))))))</f>
        <v>N/A</v>
      </c>
      <c r="FO20" s="227" t="str">
        <f t="shared" si="107"/>
        <v>No</v>
      </c>
      <c r="FP20" s="196">
        <f t="shared" si="20"/>
        <v>-9999</v>
      </c>
      <c r="FQ20" s="196">
        <f t="shared" si="21"/>
        <v>0</v>
      </c>
      <c r="FR20" s="199">
        <f t="shared" si="108"/>
        <v>0</v>
      </c>
      <c r="FS20" s="196">
        <f t="shared" si="22"/>
        <v>0</v>
      </c>
      <c r="FT20" s="113" t="str">
        <f>IF($AG20=0,"N/A",IF(FP20&gt;FP$33,$A20,IF(FR20&gt;FR$36,$A20,IF(AND(FR20=FR$36,COUNTIF(FR$18:FR20,FR$36)&lt;=FS$34),$A20,"N/A"))))</f>
        <v>N/A</v>
      </c>
      <c r="FU20" s="114" t="str">
        <f>IF(OR(COUNTIF(FT$18:FT$30,"N/A")&gt;=13,$AG$34&lt;3),"N/A",SMALL(FT$18:FT$30,3))</f>
        <v>N/A</v>
      </c>
      <c r="FV20" s="196" t="str">
        <f t="shared" si="109"/>
        <v>N/A</v>
      </c>
      <c r="FW20" s="196" t="str">
        <f t="shared" si="23"/>
        <v>N/A</v>
      </c>
      <c r="FX20" s="227" t="str">
        <f t="shared" si="110"/>
        <v>N/A</v>
      </c>
      <c r="FY20" s="196" t="str">
        <f t="shared" si="111"/>
        <v>N/A</v>
      </c>
    </row>
    <row r="21" spans="1:186">
      <c r="A21" s="113">
        <v>0.375</v>
      </c>
      <c r="B21" s="61" t="s">
        <v>160</v>
      </c>
      <c r="C21" s="4" t="s">
        <v>34</v>
      </c>
      <c r="D21" s="4">
        <f>'Input Sheet'!D39</f>
        <v>0</v>
      </c>
      <c r="E21" s="4">
        <f>'Input Sheet'!E39</f>
        <v>0</v>
      </c>
      <c r="F21" s="4">
        <f>'Input Sheet'!F39</f>
        <v>0</v>
      </c>
      <c r="G21" s="4">
        <f>'Input Sheet'!G39</f>
        <v>0</v>
      </c>
      <c r="H21" s="4">
        <f>'Input Sheet'!H39</f>
        <v>0</v>
      </c>
      <c r="I21" s="4">
        <f>'Input Sheet'!I39</f>
        <v>0</v>
      </c>
      <c r="J21" s="4">
        <f>'Input Sheet'!J39</f>
        <v>0</v>
      </c>
      <c r="K21" s="4">
        <f>'Input Sheet'!K39</f>
        <v>0</v>
      </c>
      <c r="L21" s="4">
        <f>'Input Sheet'!L39</f>
        <v>0</v>
      </c>
      <c r="M21" s="4">
        <f>'Input Sheet'!M39</f>
        <v>0</v>
      </c>
      <c r="N21" s="4">
        <f>'Input Sheet'!N39</f>
        <v>0</v>
      </c>
      <c r="O21" s="4">
        <f>'Input Sheet'!O39</f>
        <v>0</v>
      </c>
      <c r="P21" s="4">
        <f>'Input Sheet'!P39</f>
        <v>0</v>
      </c>
      <c r="Q21" s="4">
        <f>'Input Sheet'!Q39</f>
        <v>0</v>
      </c>
      <c r="R21" s="4">
        <f>'Input Sheet'!R39</f>
        <v>0</v>
      </c>
      <c r="S21" s="4">
        <f>'Input Sheet'!S39</f>
        <v>0</v>
      </c>
      <c r="U21" s="43">
        <f t="shared" si="24"/>
        <v>0</v>
      </c>
      <c r="V21" s="3">
        <f t="shared" si="25"/>
        <v>0</v>
      </c>
      <c r="W21" s="3">
        <f t="shared" si="26"/>
        <v>0</v>
      </c>
      <c r="X21" s="3">
        <f t="shared" si="27"/>
        <v>0</v>
      </c>
      <c r="Y21" s="3">
        <f t="shared" si="28"/>
        <v>0</v>
      </c>
      <c r="Z21" s="3">
        <f t="shared" si="29"/>
        <v>0</v>
      </c>
      <c r="AA21" s="3">
        <f t="shared" si="30"/>
        <v>0</v>
      </c>
      <c r="AB21" s="3">
        <f t="shared" si="31"/>
        <v>0</v>
      </c>
      <c r="AC21" s="55">
        <f t="shared" si="32"/>
        <v>0</v>
      </c>
      <c r="AD21" s="3"/>
      <c r="AE21" s="3">
        <f t="shared" si="33"/>
        <v>0</v>
      </c>
      <c r="AF21" s="3">
        <f t="shared" si="34"/>
        <v>0</v>
      </c>
      <c r="AG21" s="3">
        <f t="shared" si="0"/>
        <v>0</v>
      </c>
      <c r="AH21" s="3"/>
      <c r="AI21" s="3">
        <f t="shared" si="35"/>
        <v>-455</v>
      </c>
      <c r="AJ21" s="3">
        <f t="shared" si="36"/>
        <v>0</v>
      </c>
      <c r="AK21" s="3">
        <f t="shared" si="37"/>
        <v>0</v>
      </c>
      <c r="AL21" s="3">
        <f t="shared" si="38"/>
        <v>0</v>
      </c>
      <c r="AM21" s="114" t="str">
        <f>IF($AG21=0,"N/A",IF(AI21&gt;AI$41,$A21,IF(AK21&gt;AK$36,$A21,IF(AND(AK21=AK$36,COUNTIF(AK$18:AK21,AK$36)&lt;=AL$34),$A21,"N/A"))))</f>
        <v>N/A</v>
      </c>
      <c r="AN21" s="114" t="str">
        <f>IF(OR(COUNTIF(AM$18:AM$30,"N/A")&gt;=13,$AG$34&lt;4),"N/A",SMALL(AM$18:AM$30,4))</f>
        <v>N/A</v>
      </c>
      <c r="AO21" s="3" t="str">
        <f t="shared" si="1"/>
        <v>N/A</v>
      </c>
      <c r="AP21" s="3" t="str">
        <f t="shared" si="2"/>
        <v>N/A</v>
      </c>
      <c r="AQ21" s="3"/>
      <c r="AR21" s="3">
        <f t="shared" si="39"/>
        <v>-578</v>
      </c>
      <c r="AS21" s="3">
        <f t="shared" si="40"/>
        <v>0</v>
      </c>
      <c r="AT21" s="3">
        <f t="shared" si="41"/>
        <v>0</v>
      </c>
      <c r="AU21" s="3">
        <f t="shared" si="42"/>
        <v>0</v>
      </c>
      <c r="AV21" s="114" t="str">
        <f>IF($AG21=0,"N/A",IF(AR21&gt;AR$41,$A21,IF(AT21&gt;AT$36,$A21,IF(AND(AT21=AT$36,COUNTIF(AT$18:AT21,AT$36)&lt;=AU$34),$A21,"N/A"))))</f>
        <v>N/A</v>
      </c>
      <c r="AW21" s="114" t="str">
        <f>IF(OR(COUNTIF(AV$18:AV$30,"N/A")&gt;=13,$AG$34&lt;4),"N/A",SMALL(AV$18:AV$30,4))</f>
        <v>N/A</v>
      </c>
      <c r="AX21" s="3" t="str">
        <f t="shared" si="43"/>
        <v>N/A</v>
      </c>
      <c r="AY21" s="3" t="str">
        <f t="shared" si="44"/>
        <v>N/A</v>
      </c>
      <c r="AZ21" s="3"/>
      <c r="BA21" s="61">
        <f t="shared" si="45"/>
        <v>-364</v>
      </c>
      <c r="BB21" s="61">
        <f t="shared" si="46"/>
        <v>0</v>
      </c>
      <c r="BC21" s="61">
        <f t="shared" si="47"/>
        <v>0</v>
      </c>
      <c r="BD21" s="61">
        <f t="shared" si="48"/>
        <v>0</v>
      </c>
      <c r="BE21" s="113" t="str">
        <f>IF($AG21=0,"N/A",IF(BA21&gt;BA$41,$A21,IF(BC21&gt;BC$36,$A21,IF(AND(BC21=BC$36,COUNTIF(BC$18:BC21,BC$36)&lt;=BD$34),$A21,"N/A"))))</f>
        <v>N/A</v>
      </c>
      <c r="BF21" s="114" t="str">
        <f>IF(OR(COUNTIF(BE$18:BE$30,"N/A")&gt;=13,$AG$34&lt;4),"N/A",SMALL(BE$18:BE$30,4))</f>
        <v>N/A</v>
      </c>
      <c r="BG21" s="61" t="str">
        <f t="shared" si="3"/>
        <v>N/A</v>
      </c>
      <c r="BH21" s="61" t="str">
        <f t="shared" si="4"/>
        <v>N/A</v>
      </c>
      <c r="BJ21" s="61">
        <f t="shared" si="49"/>
        <v>-462</v>
      </c>
      <c r="BK21" s="61">
        <f t="shared" si="50"/>
        <v>0</v>
      </c>
      <c r="BL21" s="61">
        <f t="shared" si="51"/>
        <v>0</v>
      </c>
      <c r="BM21" s="61">
        <f t="shared" si="52"/>
        <v>0</v>
      </c>
      <c r="BN21" s="113" t="str">
        <f>IF($AG21=0,"N/A",IF(BJ21&gt;BJ$41,$A21,IF(BL21&gt;BL$36,$A21,IF(AND(BL21=BL$36,COUNTIF(BL$18:BL21,BL$36)&lt;=BM$34),$A21,"N/A"))))</f>
        <v>N/A</v>
      </c>
      <c r="BO21" s="114" t="str">
        <f>IF(OR(COUNTIF(BN$18:BN$30,"N/A")&gt;=13,$AG$34&lt;4),"N/A",SMALL(BN$18:BN$30,4))</f>
        <v>N/A</v>
      </c>
      <c r="BP21" s="61" t="str">
        <f t="shared" si="53"/>
        <v>N/A</v>
      </c>
      <c r="BQ21" s="61" t="str">
        <f t="shared" si="54"/>
        <v>N/A</v>
      </c>
      <c r="BS21" s="61">
        <f t="shared" si="55"/>
        <v>0</v>
      </c>
      <c r="BT21" s="61" t="str">
        <f>IF($BT$6="Yes",IF(AND('Pg 1'!$N$10&gt;1,'Pg 1'!$N$12&gt;1),$DJ21,IF(AND('Pg 1'!$N$10&gt;1,'Pg 1'!$N$12=1),$DL21,$DN21)),IF(AND('Pg 1'!$N$10&gt;1,'Pg 1'!$N$12&gt;1),$DB21,IF(AND('Pg 1'!$N$10&gt;1,'Pg 1'!$N$12=1),$DD21,$DF21)))</f>
        <v>N/A</v>
      </c>
      <c r="BU21" s="225" t="str">
        <f t="shared" si="56"/>
        <v>No</v>
      </c>
      <c r="BV21" s="61">
        <f t="shared" si="57"/>
        <v>-9999</v>
      </c>
      <c r="BW21" s="61">
        <f t="shared" si="58"/>
        <v>0</v>
      </c>
      <c r="BX21" s="61">
        <f t="shared" si="59"/>
        <v>0</v>
      </c>
      <c r="BY21" s="61">
        <f t="shared" si="60"/>
        <v>0</v>
      </c>
      <c r="BZ21" s="113" t="str">
        <f>IF($AG21=0,"N/A",IF(BV21&gt;BV$33,$A21,IF(BX21&gt;BX$36,$A21,IF(AND(BX21=BX$36,COUNTIF(BX$18:BX21,BX$36)&lt;=BY$34),$A21,"N/A"))))</f>
        <v>N/A</v>
      </c>
      <c r="CA21" s="114" t="str">
        <f>IF(OR(COUNTIF(BZ$18:BZ$30,"N/A")&gt;=13,$AG$34&lt;4),"N/A",SMALL(BZ$18:BZ$30,4))</f>
        <v>N/A</v>
      </c>
      <c r="CB21" s="61" t="str">
        <f t="shared" si="61"/>
        <v>N/A</v>
      </c>
      <c r="CC21" s="61" t="str">
        <f t="shared" si="62"/>
        <v>N/A</v>
      </c>
      <c r="CD21" s="61" t="str">
        <f t="shared" si="5"/>
        <v>N/A</v>
      </c>
      <c r="CE21" s="225" t="str">
        <f t="shared" si="63"/>
        <v>N/A</v>
      </c>
      <c r="CG21" s="61">
        <f t="shared" si="64"/>
        <v>0</v>
      </c>
      <c r="CH21" s="61">
        <f t="shared" si="6"/>
        <v>-750</v>
      </c>
      <c r="CI21" s="113" t="str">
        <f t="shared" si="7"/>
        <v>N/A</v>
      </c>
      <c r="CK21" s="61">
        <f t="shared" si="65"/>
        <v>0</v>
      </c>
      <c r="CL21" s="61" t="str">
        <f>IF($BT$6="Yes",IF(AND('Pg 1'!$N$10&gt;1,'Pg 1'!$N$12&gt;1),$DZ21,IF(AND('Pg 1'!$N$10&gt;1,'Pg 1'!$N$12=1),$EB21,ED21)),IF(AND('Pg 1'!$N$10&gt;1,'Pg 1'!$N$12&gt;1),$DR21,IF(AND('Pg 1'!$N$10&gt;1,'Pg 1'!$N$12=1),$DT21,$DV21)))</f>
        <v>N/A</v>
      </c>
      <c r="CM21" s="225" t="str">
        <f t="shared" si="66"/>
        <v>No</v>
      </c>
      <c r="CN21" s="61">
        <f t="shared" si="67"/>
        <v>-9999</v>
      </c>
      <c r="CO21" s="61">
        <f t="shared" si="68"/>
        <v>0</v>
      </c>
      <c r="CP21" s="61">
        <f t="shared" si="69"/>
        <v>0</v>
      </c>
      <c r="CQ21" s="61">
        <f t="shared" si="70"/>
        <v>0</v>
      </c>
      <c r="CR21" s="113" t="str">
        <f>IF($AG21=0,"N/A",IF(CN21&gt;CN$33,$A21,IF(CP21&gt;CP$36,$A21,IF(AND(CP21=CP$36,COUNTIF(CP$18:CP21,CP$36)&lt;=CQ$34),$A21,"N/A"))))</f>
        <v>N/A</v>
      </c>
      <c r="CS21" s="114" t="str">
        <f>IF(OR(COUNTIF(CR$18:CR$30,"N/A")&gt;=13,$AG$34&lt;4),"N/A",SMALL(CR$18:CR$30,4))</f>
        <v>N/A</v>
      </c>
      <c r="CT21" s="61" t="str">
        <f t="shared" si="71"/>
        <v>N/A</v>
      </c>
      <c r="CU21" s="61" t="str">
        <f t="shared" si="72"/>
        <v>N/A</v>
      </c>
      <c r="CV21" s="61" t="str">
        <f t="shared" si="8"/>
        <v>N/A</v>
      </c>
      <c r="CW21" s="225" t="str">
        <f t="shared" si="73"/>
        <v>N/A</v>
      </c>
      <c r="CZ21" s="80">
        <f t="shared" si="74"/>
        <v>0</v>
      </c>
      <c r="DA21" s="80"/>
      <c r="DB21" s="80" t="str">
        <f t="shared" si="75"/>
        <v>N/A</v>
      </c>
      <c r="DC21" s="80"/>
      <c r="DD21" s="80" t="str">
        <f t="shared" si="76"/>
        <v>N/A</v>
      </c>
      <c r="DE21" s="80"/>
      <c r="DF21" s="80" t="str">
        <f t="shared" si="77"/>
        <v>N/A</v>
      </c>
      <c r="DG21" s="80"/>
      <c r="DH21" s="80">
        <f t="shared" si="78"/>
        <v>0</v>
      </c>
      <c r="DI21" s="80"/>
      <c r="DJ21" s="80" t="str">
        <f t="shared" si="79"/>
        <v>N/A</v>
      </c>
      <c r="DK21" s="80"/>
      <c r="DL21" s="80" t="str">
        <f t="shared" si="80"/>
        <v>N/A</v>
      </c>
      <c r="DM21" s="80"/>
      <c r="DN21" s="80" t="str">
        <f t="shared" si="81"/>
        <v>N/A</v>
      </c>
      <c r="DO21" s="80"/>
      <c r="DP21" s="80">
        <f t="shared" si="82"/>
        <v>0</v>
      </c>
      <c r="DQ21" s="80"/>
      <c r="DR21" s="80" t="str">
        <f t="shared" si="83"/>
        <v>N/A</v>
      </c>
      <c r="DS21" s="80"/>
      <c r="DT21" s="80" t="str">
        <f t="shared" si="84"/>
        <v>N/A</v>
      </c>
      <c r="DU21" s="80"/>
      <c r="DV21" s="80" t="str">
        <f t="shared" si="85"/>
        <v>N/A</v>
      </c>
      <c r="DW21" s="80"/>
      <c r="DX21" s="80">
        <f t="shared" si="86"/>
        <v>0</v>
      </c>
      <c r="DY21" s="80"/>
      <c r="DZ21" s="80" t="str">
        <f t="shared" si="87"/>
        <v>N/A</v>
      </c>
      <c r="EA21" s="80"/>
      <c r="EB21" s="80" t="str">
        <f t="shared" si="88"/>
        <v>N/A</v>
      </c>
      <c r="EC21" s="80"/>
      <c r="ED21" s="80" t="str">
        <f t="shared" si="89"/>
        <v>N/A</v>
      </c>
      <c r="EF21" s="61"/>
      <c r="EG21" s="61">
        <f t="shared" si="90"/>
        <v>0</v>
      </c>
      <c r="EH21" s="61">
        <f t="shared" si="91"/>
        <v>0</v>
      </c>
      <c r="EI21" s="80" t="str">
        <f t="shared" si="9"/>
        <v>N/A</v>
      </c>
      <c r="EJ21" s="227" t="str">
        <f t="shared" si="92"/>
        <v>No</v>
      </c>
      <c r="EK21" s="121" t="str">
        <f t="shared" si="10"/>
        <v>No</v>
      </c>
      <c r="EL21" s="80" t="str">
        <f t="shared" si="11"/>
        <v>N/A</v>
      </c>
      <c r="EM21" s="227" t="str">
        <f t="shared" si="93"/>
        <v>No</v>
      </c>
      <c r="EN21" s="121" t="str">
        <f t="shared" si="12"/>
        <v>No</v>
      </c>
      <c r="EO21" s="80" t="str">
        <f t="shared" si="94"/>
        <v>N/A</v>
      </c>
      <c r="EP21" s="227" t="str">
        <f t="shared" si="95"/>
        <v>No</v>
      </c>
      <c r="EQ21" s="121" t="str">
        <f t="shared" si="13"/>
        <v>No</v>
      </c>
      <c r="ER21" s="80" t="str">
        <f t="shared" si="14"/>
        <v>N/A</v>
      </c>
      <c r="ES21" s="227" t="str">
        <f t="shared" si="96"/>
        <v>No</v>
      </c>
      <c r="ET21" s="121" t="str">
        <f t="shared" si="15"/>
        <v>No</v>
      </c>
      <c r="EU21" s="199">
        <f t="shared" si="97"/>
        <v>-9999</v>
      </c>
      <c r="EV21" s="199">
        <f t="shared" si="98"/>
        <v>-9999</v>
      </c>
      <c r="EW21" s="200">
        <f t="shared" si="99"/>
        <v>0</v>
      </c>
      <c r="EX21" s="200">
        <f t="shared" si="100"/>
        <v>0</v>
      </c>
      <c r="EY21" s="200">
        <f t="shared" si="101"/>
        <v>0</v>
      </c>
      <c r="EZ21" s="61">
        <f t="shared" si="102"/>
        <v>0</v>
      </c>
      <c r="FA21" s="113" t="str">
        <f>IF(EG21=0,"N/A",IF(EU21&gt;EU$33,A21,IF(EY21&gt;EY$33,A21,IF(AND(EY21=EY$33,COUNTIF(EY$18:EY21,EY$33)&lt;=EZ$35),A21,"N/A"))))</f>
        <v>N/A</v>
      </c>
      <c r="FB21" s="114" t="str">
        <f>IF(OR(COUNTIF(FA$18:FA$30,"N/A")&gt;=13,$AG$34&lt;4),"N/A",SMALL(FA$18:FA$30,4))</f>
        <v>N/A</v>
      </c>
      <c r="FC21" s="61" t="str">
        <f t="shared" si="16"/>
        <v>N/A</v>
      </c>
      <c r="FD21" s="61" t="str">
        <f t="shared" si="17"/>
        <v>N/A</v>
      </c>
      <c r="FE21" s="61" t="str">
        <f t="shared" si="18"/>
        <v>N/A</v>
      </c>
      <c r="FF21" s="61" t="str">
        <f t="shared" si="19"/>
        <v>N/A</v>
      </c>
      <c r="FG21" s="227" t="str">
        <f t="shared" si="103"/>
        <v>N/A</v>
      </c>
      <c r="FH21" s="227" t="str">
        <f t="shared" si="104"/>
        <v>N/A</v>
      </c>
      <c r="FK21" s="158">
        <f t="shared" si="105"/>
        <v>0</v>
      </c>
      <c r="FL21" s="158" t="str">
        <f>IF('Wrnt 9 Input'!$D$9="Northbound",Worksheet!U21,IF('Wrnt 9 Input'!$D$9="Southbound",Worksheet!V21,IF('Wrnt 9 Input'!$D$9="Eastbound",Worksheet!Y21,IF('Wrnt 9 Input'!$D$9="Westbound",Worksheet!Z21,"N/A"))))</f>
        <v>N/A</v>
      </c>
      <c r="FM21" s="200">
        <f t="shared" si="106"/>
        <v>0</v>
      </c>
      <c r="FN21" s="184" t="str">
        <f>IF('Wrnt 9 Input'!$B$13&lt;40,FL43,IF('Wrnt 9 Input'!$B$13&lt;60,FN43,IF('Wrnt 9 Input'!$B$13&lt;80,FP43,IF('Wrnt 9 Input'!$B$13&lt;100,FR43,IF('Wrnt 9 Input'!$B$13&lt;120,FT43,IF('Wrnt 9 Input'!$B$13&lt;=140,FV43,"N/A"))))))</f>
        <v>N/A</v>
      </c>
      <c r="FO21" s="227" t="str">
        <f t="shared" si="107"/>
        <v>No</v>
      </c>
      <c r="FP21" s="196">
        <f t="shared" si="20"/>
        <v>-9999</v>
      </c>
      <c r="FQ21" s="196">
        <f t="shared" si="21"/>
        <v>0</v>
      </c>
      <c r="FR21" s="199">
        <f t="shared" si="108"/>
        <v>0</v>
      </c>
      <c r="FS21" s="196">
        <f t="shared" si="22"/>
        <v>0</v>
      </c>
      <c r="FT21" s="113" t="str">
        <f>IF($AG21=0,"N/A",IF(FP21&gt;FP$33,$A21,IF(FR21&gt;FR$36,$A21,IF(AND(FR21=FR$36,COUNTIF(FR$18:FR21,FR$36)&lt;=FS$34),$A21,"N/A"))))</f>
        <v>N/A</v>
      </c>
      <c r="FU21" s="114" t="str">
        <f>IF(OR(COUNTIF(FT$18:FT$30,"N/A")&gt;=13,$AG$34&lt;4),"N/A",SMALL(FT$18:FT$30,4))</f>
        <v>N/A</v>
      </c>
      <c r="FV21" s="196" t="str">
        <f t="shared" si="109"/>
        <v>N/A</v>
      </c>
      <c r="FW21" s="196" t="str">
        <f t="shared" si="23"/>
        <v>N/A</v>
      </c>
      <c r="FX21" s="227" t="str">
        <f t="shared" si="110"/>
        <v>N/A</v>
      </c>
      <c r="FY21" s="196" t="str">
        <f t="shared" si="111"/>
        <v>N/A</v>
      </c>
    </row>
    <row r="22" spans="1:186">
      <c r="A22" s="113">
        <v>0.41666666666666663</v>
      </c>
      <c r="B22" s="61" t="s">
        <v>161</v>
      </c>
      <c r="C22" s="4" t="s">
        <v>35</v>
      </c>
      <c r="D22" s="4">
        <f>'Input Sheet'!D40</f>
        <v>0</v>
      </c>
      <c r="E22" s="4">
        <f>'Input Sheet'!E40</f>
        <v>0</v>
      </c>
      <c r="F22" s="4">
        <f>'Input Sheet'!F40</f>
        <v>0</v>
      </c>
      <c r="G22" s="4">
        <f>'Input Sheet'!G40</f>
        <v>0</v>
      </c>
      <c r="H22" s="4">
        <f>'Input Sheet'!H40</f>
        <v>0</v>
      </c>
      <c r="I22" s="4">
        <f>'Input Sheet'!I40</f>
        <v>0</v>
      </c>
      <c r="J22" s="4">
        <f>'Input Sheet'!J40</f>
        <v>0</v>
      </c>
      <c r="K22" s="4">
        <f>'Input Sheet'!K40</f>
        <v>0</v>
      </c>
      <c r="L22" s="4">
        <f>'Input Sheet'!L40</f>
        <v>0</v>
      </c>
      <c r="M22" s="4">
        <f>'Input Sheet'!M40</f>
        <v>0</v>
      </c>
      <c r="N22" s="4">
        <f>'Input Sheet'!N40</f>
        <v>0</v>
      </c>
      <c r="O22" s="4">
        <f>'Input Sheet'!O40</f>
        <v>0</v>
      </c>
      <c r="P22" s="4">
        <f>'Input Sheet'!P40</f>
        <v>0</v>
      </c>
      <c r="Q22" s="4">
        <f>'Input Sheet'!Q40</f>
        <v>0</v>
      </c>
      <c r="R22" s="4">
        <f>'Input Sheet'!R40</f>
        <v>0</v>
      </c>
      <c r="S22" s="4">
        <f>'Input Sheet'!S40</f>
        <v>0</v>
      </c>
      <c r="U22" s="43">
        <f t="shared" si="24"/>
        <v>0</v>
      </c>
      <c r="V22" s="3">
        <f t="shared" si="25"/>
        <v>0</v>
      </c>
      <c r="W22" s="3">
        <f t="shared" si="26"/>
        <v>0</v>
      </c>
      <c r="X22" s="3">
        <f t="shared" si="27"/>
        <v>0</v>
      </c>
      <c r="Y22" s="3">
        <f t="shared" si="28"/>
        <v>0</v>
      </c>
      <c r="Z22" s="3">
        <f t="shared" si="29"/>
        <v>0</v>
      </c>
      <c r="AA22" s="3">
        <f t="shared" si="30"/>
        <v>0</v>
      </c>
      <c r="AB22" s="3">
        <f t="shared" si="31"/>
        <v>0</v>
      </c>
      <c r="AC22" s="55">
        <f t="shared" si="32"/>
        <v>0</v>
      </c>
      <c r="AD22" s="3"/>
      <c r="AE22" s="3">
        <f t="shared" si="33"/>
        <v>0</v>
      </c>
      <c r="AF22" s="3">
        <f t="shared" si="34"/>
        <v>0</v>
      </c>
      <c r="AG22" s="3">
        <f t="shared" si="0"/>
        <v>0</v>
      </c>
      <c r="AH22" s="3"/>
      <c r="AI22" s="3">
        <f t="shared" si="35"/>
        <v>-455</v>
      </c>
      <c r="AJ22" s="3">
        <f t="shared" si="36"/>
        <v>0</v>
      </c>
      <c r="AK22" s="3">
        <f t="shared" si="37"/>
        <v>0</v>
      </c>
      <c r="AL22" s="3">
        <f t="shared" si="38"/>
        <v>0</v>
      </c>
      <c r="AM22" s="114" t="str">
        <f>IF($AG22=0,"N/A",IF(AI22&gt;AI$41,$A22,IF(AK22&gt;AK$36,$A22,IF(AND(AK22=AK$36,COUNTIF(AK$18:AK22,AK$36)&lt;=AL$34),$A22,"N/A"))))</f>
        <v>N/A</v>
      </c>
      <c r="AN22" s="114" t="str">
        <f>IF(OR(COUNTIF(AM$18:AM$30,"N/A")&gt;=13,$AG$34&lt;5),"N/A",SMALL(AM$18:AM$30,5))</f>
        <v>N/A</v>
      </c>
      <c r="AO22" s="3" t="str">
        <f t="shared" si="1"/>
        <v>N/A</v>
      </c>
      <c r="AP22" s="3" t="str">
        <f t="shared" si="2"/>
        <v>N/A</v>
      </c>
      <c r="AQ22" s="3"/>
      <c r="AR22" s="3">
        <f t="shared" si="39"/>
        <v>-578</v>
      </c>
      <c r="AS22" s="3">
        <f t="shared" si="40"/>
        <v>0</v>
      </c>
      <c r="AT22" s="3">
        <f t="shared" si="41"/>
        <v>0</v>
      </c>
      <c r="AU22" s="3">
        <f t="shared" si="42"/>
        <v>0</v>
      </c>
      <c r="AV22" s="114" t="str">
        <f>IF($AG22=0,"N/A",IF(AR22&gt;AR$41,$A22,IF(AT22&gt;AT$36,$A22,IF(AND(AT22=AT$36,COUNTIF(AT$18:AT22,AT$36)&lt;=AU$34),$A22,"N/A"))))</f>
        <v>N/A</v>
      </c>
      <c r="AW22" s="114" t="str">
        <f>IF(OR(COUNTIF(AV$18:AV$30,"N/A")&gt;=13,$AG$34&lt;5),"N/A",SMALL(AV$18:AV$30,5))</f>
        <v>N/A</v>
      </c>
      <c r="AX22" s="3" t="str">
        <f t="shared" si="43"/>
        <v>N/A</v>
      </c>
      <c r="AY22" s="3" t="str">
        <f t="shared" si="44"/>
        <v>N/A</v>
      </c>
      <c r="AZ22" s="3"/>
      <c r="BA22" s="61">
        <f t="shared" si="45"/>
        <v>-364</v>
      </c>
      <c r="BB22" s="61">
        <f t="shared" si="46"/>
        <v>0</v>
      </c>
      <c r="BC22" s="61">
        <f t="shared" si="47"/>
        <v>0</v>
      </c>
      <c r="BD22" s="61">
        <f t="shared" si="48"/>
        <v>0</v>
      </c>
      <c r="BE22" s="113" t="str">
        <f>IF($AG22=0,"N/A",IF(BA22&gt;BA$41,$A22,IF(BC22&gt;BC$36,$A22,IF(AND(BC22=BC$36,COUNTIF(BC$18:BC22,BC$36)&lt;=BD$34),$A22,"N/A"))))</f>
        <v>N/A</v>
      </c>
      <c r="BF22" s="114" t="str">
        <f>IF(OR(COUNTIF(BE$18:BE$30,"N/A")&gt;=13,$AG$34&lt;5),"N/A",SMALL(BE$18:BE$30,5))</f>
        <v>N/A</v>
      </c>
      <c r="BG22" s="61" t="str">
        <f t="shared" si="3"/>
        <v>N/A</v>
      </c>
      <c r="BH22" s="61" t="str">
        <f t="shared" si="4"/>
        <v>N/A</v>
      </c>
      <c r="BJ22" s="61">
        <f t="shared" si="49"/>
        <v>-462</v>
      </c>
      <c r="BK22" s="61">
        <f t="shared" si="50"/>
        <v>0</v>
      </c>
      <c r="BL22" s="61">
        <f t="shared" si="51"/>
        <v>0</v>
      </c>
      <c r="BM22" s="61">
        <f t="shared" si="52"/>
        <v>0</v>
      </c>
      <c r="BN22" s="113" t="str">
        <f>IF($AG22=0,"N/A",IF(BJ22&gt;BJ$41,$A22,IF(BL22&gt;BL$36,$A22,IF(AND(BL22=BL$36,COUNTIF(BL$18:BL22,BL$36)&lt;=BM$34),$A22,"N/A"))))</f>
        <v>N/A</v>
      </c>
      <c r="BO22" s="114" t="str">
        <f>IF(OR(COUNTIF(BN$18:BN$30,"N/A")&gt;=13,$AG$34&lt;5),"N/A",SMALL(BN$18:BN$30,5))</f>
        <v>N/A</v>
      </c>
      <c r="BP22" s="61" t="str">
        <f t="shared" si="53"/>
        <v>N/A</v>
      </c>
      <c r="BQ22" s="61" t="str">
        <f t="shared" si="54"/>
        <v>N/A</v>
      </c>
      <c r="BS22" s="61">
        <f t="shared" si="55"/>
        <v>0</v>
      </c>
      <c r="BT22" s="61" t="str">
        <f>IF($BT$6="Yes",IF(AND('Pg 1'!$N$10&gt;1,'Pg 1'!$N$12&gt;1),$DJ22,IF(AND('Pg 1'!$N$10&gt;1,'Pg 1'!$N$12=1),$DL22,$DN22)),IF(AND('Pg 1'!$N$10&gt;1,'Pg 1'!$N$12&gt;1),$DB22,IF(AND('Pg 1'!$N$10&gt;1,'Pg 1'!$N$12=1),$DD22,$DF22)))</f>
        <v>N/A</v>
      </c>
      <c r="BU22" s="225" t="str">
        <f t="shared" si="56"/>
        <v>No</v>
      </c>
      <c r="BV22" s="61">
        <f t="shared" si="57"/>
        <v>-9999</v>
      </c>
      <c r="BW22" s="61">
        <f t="shared" si="58"/>
        <v>0</v>
      </c>
      <c r="BX22" s="61">
        <f t="shared" si="59"/>
        <v>0</v>
      </c>
      <c r="BY22" s="61">
        <f t="shared" si="60"/>
        <v>0</v>
      </c>
      <c r="BZ22" s="113" t="str">
        <f>IF($AG22=0,"N/A",IF(BV22&gt;BV$33,$A22,IF(BX22&gt;BX$36,$A22,IF(AND(BX22=BX$36,COUNTIF(BX$18:BX22,BX$36)&lt;=BY$34),$A22,"N/A"))))</f>
        <v>N/A</v>
      </c>
      <c r="CA22" s="114" t="str">
        <f>IF(OR(COUNTIF(BZ$18:BZ$30,"N/A")&gt;=13,$AG$34&lt;5),"N/A",SMALL(BZ$18:BZ$30,5))</f>
        <v>N/A</v>
      </c>
      <c r="CB22" s="61" t="str">
        <f t="shared" si="61"/>
        <v>N/A</v>
      </c>
      <c r="CC22" s="61" t="str">
        <f t="shared" si="62"/>
        <v>N/A</v>
      </c>
      <c r="CD22" s="61" t="str">
        <f t="shared" si="5"/>
        <v>N/A</v>
      </c>
      <c r="CE22" s="225" t="str">
        <f t="shared" si="63"/>
        <v>N/A</v>
      </c>
      <c r="CG22" s="61">
        <f t="shared" si="64"/>
        <v>0</v>
      </c>
      <c r="CH22" s="61">
        <f t="shared" si="6"/>
        <v>-750</v>
      </c>
      <c r="CI22" s="113" t="str">
        <f t="shared" si="7"/>
        <v>N/A</v>
      </c>
      <c r="CK22" s="61">
        <f t="shared" si="65"/>
        <v>0</v>
      </c>
      <c r="CL22" s="61" t="str">
        <f>IF($BT$6="Yes",IF(AND('Pg 1'!$N$10&gt;1,'Pg 1'!$N$12&gt;1),$DZ22,IF(AND('Pg 1'!$N$10&gt;1,'Pg 1'!$N$12=1),$EB22,ED22)),IF(AND('Pg 1'!$N$10&gt;1,'Pg 1'!$N$12&gt;1),$DR22,IF(AND('Pg 1'!$N$10&gt;1,'Pg 1'!$N$12=1),$DT22,$DV22)))</f>
        <v>N/A</v>
      </c>
      <c r="CM22" s="225" t="str">
        <f t="shared" si="66"/>
        <v>No</v>
      </c>
      <c r="CN22" s="61">
        <f t="shared" si="67"/>
        <v>-9999</v>
      </c>
      <c r="CO22" s="61">
        <f t="shared" si="68"/>
        <v>0</v>
      </c>
      <c r="CP22" s="61">
        <f t="shared" si="69"/>
        <v>0</v>
      </c>
      <c r="CQ22" s="61">
        <f t="shared" si="70"/>
        <v>0</v>
      </c>
      <c r="CR22" s="113" t="str">
        <f>IF($AG22=0,"N/A",IF(CN22&gt;CN$33,$A22,IF(CP22&gt;CP$36,$A22,IF(AND(CP22=CP$36,COUNTIF(CP$18:CP22,CP$36)&lt;=CQ$34),$A22,"N/A"))))</f>
        <v>N/A</v>
      </c>
      <c r="CS22" s="114" t="str">
        <f>IF(OR(COUNTIF(CR$18:CR$30,"N/A")&gt;=13,$AG$34&lt;5),"N/A",SMALL(CR$18:CR$30,5))</f>
        <v>N/A</v>
      </c>
      <c r="CT22" s="61" t="str">
        <f t="shared" si="71"/>
        <v>N/A</v>
      </c>
      <c r="CU22" s="61" t="str">
        <f t="shared" si="72"/>
        <v>N/A</v>
      </c>
      <c r="CV22" s="61" t="str">
        <f t="shared" si="8"/>
        <v>N/A</v>
      </c>
      <c r="CW22" s="225" t="str">
        <f t="shared" si="73"/>
        <v>N/A</v>
      </c>
      <c r="CZ22" s="80">
        <f t="shared" si="74"/>
        <v>0</v>
      </c>
      <c r="DA22" s="80"/>
      <c r="DB22" s="80" t="str">
        <f t="shared" si="75"/>
        <v>N/A</v>
      </c>
      <c r="DC22" s="80"/>
      <c r="DD22" s="80" t="str">
        <f t="shared" si="76"/>
        <v>N/A</v>
      </c>
      <c r="DE22" s="80"/>
      <c r="DF22" s="80" t="str">
        <f t="shared" si="77"/>
        <v>N/A</v>
      </c>
      <c r="DG22" s="80"/>
      <c r="DH22" s="80">
        <f t="shared" si="78"/>
        <v>0</v>
      </c>
      <c r="DI22" s="80"/>
      <c r="DJ22" s="80" t="str">
        <f t="shared" si="79"/>
        <v>N/A</v>
      </c>
      <c r="DK22" s="80"/>
      <c r="DL22" s="80" t="str">
        <f t="shared" si="80"/>
        <v>N/A</v>
      </c>
      <c r="DM22" s="80"/>
      <c r="DN22" s="80" t="str">
        <f t="shared" si="81"/>
        <v>N/A</v>
      </c>
      <c r="DO22" s="80"/>
      <c r="DP22" s="80">
        <f t="shared" si="82"/>
        <v>0</v>
      </c>
      <c r="DQ22" s="80"/>
      <c r="DR22" s="80" t="str">
        <f t="shared" si="83"/>
        <v>N/A</v>
      </c>
      <c r="DS22" s="80"/>
      <c r="DT22" s="80" t="str">
        <f t="shared" si="84"/>
        <v>N/A</v>
      </c>
      <c r="DU22" s="80"/>
      <c r="DV22" s="80" t="str">
        <f t="shared" si="85"/>
        <v>N/A</v>
      </c>
      <c r="DW22" s="80"/>
      <c r="DX22" s="80">
        <f t="shared" si="86"/>
        <v>0</v>
      </c>
      <c r="DY22" s="80"/>
      <c r="DZ22" s="80" t="str">
        <f t="shared" si="87"/>
        <v>N/A</v>
      </c>
      <c r="EA22" s="80"/>
      <c r="EB22" s="80" t="str">
        <f t="shared" si="88"/>
        <v>N/A</v>
      </c>
      <c r="EC22" s="80"/>
      <c r="ED22" s="80" t="str">
        <f t="shared" si="89"/>
        <v>N/A</v>
      </c>
      <c r="EF22" s="61"/>
      <c r="EG22" s="61">
        <f t="shared" si="90"/>
        <v>0</v>
      </c>
      <c r="EH22" s="61">
        <f t="shared" si="91"/>
        <v>0</v>
      </c>
      <c r="EI22" s="80" t="str">
        <f t="shared" si="9"/>
        <v>N/A</v>
      </c>
      <c r="EJ22" s="227" t="str">
        <f t="shared" si="92"/>
        <v>No</v>
      </c>
      <c r="EK22" s="121" t="str">
        <f t="shared" si="10"/>
        <v>No</v>
      </c>
      <c r="EL22" s="80" t="str">
        <f t="shared" si="11"/>
        <v>N/A</v>
      </c>
      <c r="EM22" s="227" t="str">
        <f t="shared" si="93"/>
        <v>No</v>
      </c>
      <c r="EN22" s="121" t="str">
        <f t="shared" si="12"/>
        <v>No</v>
      </c>
      <c r="EO22" s="80" t="str">
        <f t="shared" si="94"/>
        <v>N/A</v>
      </c>
      <c r="EP22" s="227" t="str">
        <f t="shared" si="95"/>
        <v>No</v>
      </c>
      <c r="EQ22" s="121" t="str">
        <f t="shared" si="13"/>
        <v>No</v>
      </c>
      <c r="ER22" s="80" t="str">
        <f t="shared" si="14"/>
        <v>N/A</v>
      </c>
      <c r="ES22" s="227" t="str">
        <f t="shared" si="96"/>
        <v>No</v>
      </c>
      <c r="ET22" s="121" t="str">
        <f t="shared" si="15"/>
        <v>No</v>
      </c>
      <c r="EU22" s="199">
        <f t="shared" si="97"/>
        <v>-9999</v>
      </c>
      <c r="EV22" s="199">
        <f t="shared" si="98"/>
        <v>-9999</v>
      </c>
      <c r="EW22" s="200">
        <f t="shared" si="99"/>
        <v>0</v>
      </c>
      <c r="EX22" s="200">
        <f t="shared" si="100"/>
        <v>0</v>
      </c>
      <c r="EY22" s="200">
        <f t="shared" si="101"/>
        <v>0</v>
      </c>
      <c r="EZ22" s="61">
        <f t="shared" si="102"/>
        <v>0</v>
      </c>
      <c r="FA22" s="113" t="str">
        <f>IF(EG22=0,"N/A",IF(EU22&gt;EU$33,A22,IF(EY22&gt;EY$33,A22,IF(AND(EY22=EY$33,COUNTIF(EY$18:EY22,EY$33)&lt;=EZ$35),A22,"N/A"))))</f>
        <v>N/A</v>
      </c>
      <c r="FB22" s="114" t="str">
        <f>IF(OR(COUNTIF(FA$18:FA$30,"N/A")&gt;=13,$AG$34&lt;5),"N/A",SMALL(FA$18:FA$30,5))</f>
        <v>N/A</v>
      </c>
      <c r="FC22" s="61" t="str">
        <f t="shared" si="16"/>
        <v>N/A</v>
      </c>
      <c r="FD22" s="61" t="str">
        <f t="shared" si="17"/>
        <v>N/A</v>
      </c>
      <c r="FE22" s="61" t="str">
        <f t="shared" si="18"/>
        <v>N/A</v>
      </c>
      <c r="FF22" s="61" t="str">
        <f t="shared" si="19"/>
        <v>N/A</v>
      </c>
      <c r="FG22" s="227" t="str">
        <f t="shared" si="103"/>
        <v>N/A</v>
      </c>
      <c r="FH22" s="227" t="str">
        <f t="shared" si="104"/>
        <v>N/A</v>
      </c>
      <c r="FK22" s="158">
        <f t="shared" si="105"/>
        <v>0</v>
      </c>
      <c r="FL22" s="158" t="str">
        <f>IF('Wrnt 9 Input'!$D$9="Northbound",Worksheet!U22,IF('Wrnt 9 Input'!$D$9="Southbound",Worksheet!V22,IF('Wrnt 9 Input'!$D$9="Eastbound",Worksheet!Y22,IF('Wrnt 9 Input'!$D$9="Westbound",Worksheet!Z22,"N/A"))))</f>
        <v>N/A</v>
      </c>
      <c r="FM22" s="200">
        <f t="shared" si="106"/>
        <v>0</v>
      </c>
      <c r="FN22" s="184" t="str">
        <f>IF('Wrnt 9 Input'!$B$13&lt;40,FL44,IF('Wrnt 9 Input'!$B$13&lt;60,FN44,IF('Wrnt 9 Input'!$B$13&lt;80,FP44,IF('Wrnt 9 Input'!$B$13&lt;100,FR44,IF('Wrnt 9 Input'!$B$13&lt;120,FT44,IF('Wrnt 9 Input'!$B$13&lt;=140,FV44,"N/A"))))))</f>
        <v>N/A</v>
      </c>
      <c r="FO22" s="227" t="str">
        <f t="shared" si="107"/>
        <v>No</v>
      </c>
      <c r="FP22" s="196">
        <f t="shared" si="20"/>
        <v>-9999</v>
      </c>
      <c r="FQ22" s="196">
        <f t="shared" si="21"/>
        <v>0</v>
      </c>
      <c r="FR22" s="199">
        <f t="shared" si="108"/>
        <v>0</v>
      </c>
      <c r="FS22" s="196">
        <f t="shared" si="22"/>
        <v>0</v>
      </c>
      <c r="FT22" s="113" t="str">
        <f>IF($AG22=0,"N/A",IF(FP22&gt;FP$33,$A22,IF(FR22&gt;FR$36,$A22,IF(AND(FR22=FR$36,COUNTIF(FR$18:FR22,FR$36)&lt;=FS$34),$A22,"N/A"))))</f>
        <v>N/A</v>
      </c>
      <c r="FU22" s="114" t="str">
        <f>IF(OR(COUNTIF(FT$18:FT$30,"N/A")&gt;=13,$AG$34&lt;5),"N/A",SMALL(FT$18:FT$30,5))</f>
        <v>N/A</v>
      </c>
      <c r="FV22" s="196" t="str">
        <f t="shared" si="109"/>
        <v>N/A</v>
      </c>
      <c r="FW22" s="196" t="str">
        <f t="shared" si="23"/>
        <v>N/A</v>
      </c>
      <c r="FX22" s="227" t="str">
        <f t="shared" si="110"/>
        <v>N/A</v>
      </c>
      <c r="FY22" s="196" t="str">
        <f t="shared" si="111"/>
        <v>N/A</v>
      </c>
    </row>
    <row r="23" spans="1:186">
      <c r="A23" s="113">
        <v>0.45833333333333331</v>
      </c>
      <c r="B23" s="61" t="s">
        <v>92</v>
      </c>
      <c r="C23" s="4" t="s">
        <v>36</v>
      </c>
      <c r="D23" s="4">
        <f>'Input Sheet'!D41</f>
        <v>0</v>
      </c>
      <c r="E23" s="4">
        <f>'Input Sheet'!E41</f>
        <v>0</v>
      </c>
      <c r="F23" s="4">
        <f>'Input Sheet'!F41</f>
        <v>0</v>
      </c>
      <c r="G23" s="4">
        <f>'Input Sheet'!G41</f>
        <v>0</v>
      </c>
      <c r="H23" s="4">
        <f>'Input Sheet'!H41</f>
        <v>0</v>
      </c>
      <c r="I23" s="4">
        <f>'Input Sheet'!I41</f>
        <v>0</v>
      </c>
      <c r="J23" s="4">
        <f>'Input Sheet'!J41</f>
        <v>0</v>
      </c>
      <c r="K23" s="4">
        <f>'Input Sheet'!K41</f>
        <v>0</v>
      </c>
      <c r="L23" s="4">
        <f>'Input Sheet'!L41</f>
        <v>0</v>
      </c>
      <c r="M23" s="4">
        <f>'Input Sheet'!M41</f>
        <v>0</v>
      </c>
      <c r="N23" s="4">
        <f>'Input Sheet'!N41</f>
        <v>0</v>
      </c>
      <c r="O23" s="4">
        <f>'Input Sheet'!O41</f>
        <v>0</v>
      </c>
      <c r="P23" s="4">
        <f>'Input Sheet'!P41</f>
        <v>0</v>
      </c>
      <c r="Q23" s="4">
        <f>'Input Sheet'!Q41</f>
        <v>0</v>
      </c>
      <c r="R23" s="4">
        <f>'Input Sheet'!R41</f>
        <v>0</v>
      </c>
      <c r="S23" s="4">
        <f>'Input Sheet'!S41</f>
        <v>0</v>
      </c>
      <c r="U23" s="43">
        <f t="shared" si="24"/>
        <v>0</v>
      </c>
      <c r="V23" s="3">
        <f t="shared" si="25"/>
        <v>0</v>
      </c>
      <c r="W23" s="3">
        <f t="shared" si="26"/>
        <v>0</v>
      </c>
      <c r="X23" s="3">
        <f t="shared" si="27"/>
        <v>0</v>
      </c>
      <c r="Y23" s="3">
        <f t="shared" si="28"/>
        <v>0</v>
      </c>
      <c r="Z23" s="3">
        <f t="shared" si="29"/>
        <v>0</v>
      </c>
      <c r="AA23" s="3">
        <f t="shared" si="30"/>
        <v>0</v>
      </c>
      <c r="AB23" s="3">
        <f t="shared" si="31"/>
        <v>0</v>
      </c>
      <c r="AC23" s="55">
        <f t="shared" si="32"/>
        <v>0</v>
      </c>
      <c r="AD23" s="3"/>
      <c r="AE23" s="3">
        <f t="shared" si="33"/>
        <v>0</v>
      </c>
      <c r="AF23" s="3">
        <f t="shared" si="34"/>
        <v>0</v>
      </c>
      <c r="AG23" s="3">
        <f t="shared" si="0"/>
        <v>0</v>
      </c>
      <c r="AH23" s="3"/>
      <c r="AI23" s="3">
        <f t="shared" si="35"/>
        <v>-455</v>
      </c>
      <c r="AJ23" s="3">
        <f t="shared" si="36"/>
        <v>0</v>
      </c>
      <c r="AK23" s="3">
        <f t="shared" si="37"/>
        <v>0</v>
      </c>
      <c r="AL23" s="3">
        <f t="shared" si="38"/>
        <v>0</v>
      </c>
      <c r="AM23" s="114" t="str">
        <f>IF($AG23=0,"N/A",IF(AI23&gt;AI$41,$A23,IF(AK23&gt;AK$36,$A23,IF(AND(AK23=AK$36,COUNTIF(AK$18:AK23,AK$36)&lt;=AL$34),$A23,"N/A"))))</f>
        <v>N/A</v>
      </c>
      <c r="AN23" s="114" t="str">
        <f>IF(OR(COUNTIF(AM$18:AM$30,"N/A")&gt;=13,$AG$34&lt;6),"N/A",SMALL(AM$18:AM$30,6))</f>
        <v>N/A</v>
      </c>
      <c r="AO23" s="3" t="str">
        <f t="shared" si="1"/>
        <v>N/A</v>
      </c>
      <c r="AP23" s="3" t="str">
        <f t="shared" si="2"/>
        <v>N/A</v>
      </c>
      <c r="AQ23" s="3"/>
      <c r="AR23" s="3">
        <f t="shared" si="39"/>
        <v>-578</v>
      </c>
      <c r="AS23" s="3">
        <f t="shared" si="40"/>
        <v>0</v>
      </c>
      <c r="AT23" s="3">
        <f t="shared" si="41"/>
        <v>0</v>
      </c>
      <c r="AU23" s="3">
        <f t="shared" si="42"/>
        <v>0</v>
      </c>
      <c r="AV23" s="114" t="str">
        <f>IF($AG23=0,"N/A",IF(AR23&gt;AR$41,$A23,IF(AT23&gt;AT$36,$A23,IF(AND(AT23=AT$36,COUNTIF(AT$18:AT23,AT$36)&lt;=AU$34),$A23,"N/A"))))</f>
        <v>N/A</v>
      </c>
      <c r="AW23" s="114" t="str">
        <f>IF(OR(COUNTIF(AV$18:AV$30,"N/A")&gt;=13,$AG$34&lt;6),"N/A",SMALL(AV$18:AV$30,6))</f>
        <v>N/A</v>
      </c>
      <c r="AX23" s="3" t="str">
        <f t="shared" si="43"/>
        <v>N/A</v>
      </c>
      <c r="AY23" s="3" t="str">
        <f t="shared" si="44"/>
        <v>N/A</v>
      </c>
      <c r="AZ23" s="3"/>
      <c r="BA23" s="61">
        <f t="shared" si="45"/>
        <v>-364</v>
      </c>
      <c r="BB23" s="61">
        <f t="shared" si="46"/>
        <v>0</v>
      </c>
      <c r="BC23" s="61">
        <f t="shared" si="47"/>
        <v>0</v>
      </c>
      <c r="BD23" s="61">
        <f t="shared" si="48"/>
        <v>0</v>
      </c>
      <c r="BE23" s="113" t="str">
        <f>IF($AG23=0,"N/A",IF(BA23&gt;BA$41,$A23,IF(BC23&gt;BC$36,$A23,IF(AND(BC23=BC$36,COUNTIF(BC$18:BC23,BC$36)&lt;=BD$34),$A23,"N/A"))))</f>
        <v>N/A</v>
      </c>
      <c r="BF23" s="114" t="str">
        <f>IF(OR(COUNTIF(BE$18:BE$30,"N/A")&gt;=13,$AG$34&lt;6),"N/A",SMALL(BE$18:BE$30,6))</f>
        <v>N/A</v>
      </c>
      <c r="BG23" s="61" t="str">
        <f t="shared" si="3"/>
        <v>N/A</v>
      </c>
      <c r="BH23" s="61" t="str">
        <f t="shared" si="4"/>
        <v>N/A</v>
      </c>
      <c r="BJ23" s="61">
        <f t="shared" si="49"/>
        <v>-462</v>
      </c>
      <c r="BK23" s="61">
        <f t="shared" si="50"/>
        <v>0</v>
      </c>
      <c r="BL23" s="61">
        <f t="shared" si="51"/>
        <v>0</v>
      </c>
      <c r="BM23" s="61">
        <f t="shared" si="52"/>
        <v>0</v>
      </c>
      <c r="BN23" s="113" t="str">
        <f>IF($AG23=0,"N/A",IF(BJ23&gt;BJ$41,$A23,IF(BL23&gt;BL$36,$A23,IF(AND(BL23=BL$36,COUNTIF(BL$18:BL23,BL$36)&lt;=BM$34),$A23,"N/A"))))</f>
        <v>N/A</v>
      </c>
      <c r="BO23" s="114" t="str">
        <f>IF(OR(COUNTIF(BN$18:BN$30,"N/A")&gt;=13,$AG$34&lt;6),"N/A",SMALL(BN$18:BN$30,6))</f>
        <v>N/A</v>
      </c>
      <c r="BP23" s="61" t="str">
        <f t="shared" si="53"/>
        <v>N/A</v>
      </c>
      <c r="BQ23" s="61" t="str">
        <f t="shared" si="54"/>
        <v>N/A</v>
      </c>
      <c r="BS23" s="61">
        <f t="shared" si="55"/>
        <v>0</v>
      </c>
      <c r="BT23" s="61" t="str">
        <f>IF($BT$6="Yes",IF(AND('Pg 1'!$N$10&gt;1,'Pg 1'!$N$12&gt;1),$DJ23,IF(AND('Pg 1'!$N$10&gt;1,'Pg 1'!$N$12=1),$DL23,$DN23)),IF(AND('Pg 1'!$N$10&gt;1,'Pg 1'!$N$12&gt;1),$DB23,IF(AND('Pg 1'!$N$10&gt;1,'Pg 1'!$N$12=1),$DD23,$DF23)))</f>
        <v>N/A</v>
      </c>
      <c r="BU23" s="225" t="str">
        <f t="shared" si="56"/>
        <v>No</v>
      </c>
      <c r="BV23" s="61">
        <f t="shared" si="57"/>
        <v>-9999</v>
      </c>
      <c r="BW23" s="61">
        <f t="shared" si="58"/>
        <v>0</v>
      </c>
      <c r="BX23" s="61">
        <f t="shared" si="59"/>
        <v>0</v>
      </c>
      <c r="BY23" s="61">
        <f t="shared" si="60"/>
        <v>0</v>
      </c>
      <c r="BZ23" s="113" t="str">
        <f>IF($AG23=0,"N/A",IF(BV23&gt;BV$33,$A23,IF(BX23&gt;BX$36,$A23,IF(AND(BX23=BX$36,COUNTIF(BX$18:BX23,BX$36)&lt;=BY$34),$A23,"N/A"))))</f>
        <v>N/A</v>
      </c>
      <c r="CA23" s="114" t="str">
        <f>IF(OR(COUNTIF(BZ$18:BZ$30,"N/A")&gt;=13,$AG$34&lt;6),"N/A",SMALL(BZ$18:BZ$30,6))</f>
        <v>N/A</v>
      </c>
      <c r="CB23" s="61" t="str">
        <f t="shared" si="61"/>
        <v>N/A</v>
      </c>
      <c r="CC23" s="61" t="str">
        <f t="shared" si="62"/>
        <v>N/A</v>
      </c>
      <c r="CD23" s="61" t="str">
        <f t="shared" si="5"/>
        <v>N/A</v>
      </c>
      <c r="CE23" s="225" t="str">
        <f t="shared" si="63"/>
        <v>N/A</v>
      </c>
      <c r="CG23" s="61">
        <f t="shared" si="64"/>
        <v>0</v>
      </c>
      <c r="CH23" s="61">
        <f t="shared" si="6"/>
        <v>-750</v>
      </c>
      <c r="CI23" s="113" t="str">
        <f t="shared" si="7"/>
        <v>N/A</v>
      </c>
      <c r="CK23" s="61">
        <f t="shared" si="65"/>
        <v>0</v>
      </c>
      <c r="CL23" s="61" t="str">
        <f>IF($BT$6="Yes",IF(AND('Pg 1'!$N$10&gt;1,'Pg 1'!$N$12&gt;1),$DZ23,IF(AND('Pg 1'!$N$10&gt;1,'Pg 1'!$N$12=1),$EB23,ED23)),IF(AND('Pg 1'!$N$10&gt;1,'Pg 1'!$N$12&gt;1),$DR23,IF(AND('Pg 1'!$N$10&gt;1,'Pg 1'!$N$12=1),$DT23,$DV23)))</f>
        <v>N/A</v>
      </c>
      <c r="CM23" s="225" t="str">
        <f t="shared" si="66"/>
        <v>No</v>
      </c>
      <c r="CN23" s="61">
        <f t="shared" si="67"/>
        <v>-9999</v>
      </c>
      <c r="CO23" s="61">
        <f t="shared" si="68"/>
        <v>0</v>
      </c>
      <c r="CP23" s="61">
        <f t="shared" si="69"/>
        <v>0</v>
      </c>
      <c r="CQ23" s="61">
        <f t="shared" si="70"/>
        <v>0</v>
      </c>
      <c r="CR23" s="113" t="str">
        <f>IF($AG23=0,"N/A",IF(CN23&gt;CN$33,$A23,IF(CP23&gt;CP$36,$A23,IF(AND(CP23=CP$36,COUNTIF(CP$18:CP23,CP$36)&lt;=CQ$34),$A23,"N/A"))))</f>
        <v>N/A</v>
      </c>
      <c r="CS23" s="114" t="str">
        <f>IF(OR(COUNTIF(CR$18:CR$30,"N/A")&gt;=13,$AG$34&lt;6),"N/A",SMALL(CR$18:CR$30,6))</f>
        <v>N/A</v>
      </c>
      <c r="CT23" s="61" t="str">
        <f t="shared" si="71"/>
        <v>N/A</v>
      </c>
      <c r="CU23" s="61" t="str">
        <f t="shared" si="72"/>
        <v>N/A</v>
      </c>
      <c r="CV23" s="61" t="str">
        <f t="shared" si="8"/>
        <v>N/A</v>
      </c>
      <c r="CW23" s="225" t="str">
        <f t="shared" si="73"/>
        <v>N/A</v>
      </c>
      <c r="CZ23" s="80">
        <f t="shared" si="74"/>
        <v>0</v>
      </c>
      <c r="DA23" s="80"/>
      <c r="DB23" s="80" t="str">
        <f t="shared" si="75"/>
        <v>N/A</v>
      </c>
      <c r="DC23" s="80"/>
      <c r="DD23" s="80" t="str">
        <f t="shared" si="76"/>
        <v>N/A</v>
      </c>
      <c r="DE23" s="80"/>
      <c r="DF23" s="80" t="str">
        <f t="shared" si="77"/>
        <v>N/A</v>
      </c>
      <c r="DG23" s="80"/>
      <c r="DH23" s="80">
        <f t="shared" si="78"/>
        <v>0</v>
      </c>
      <c r="DI23" s="80"/>
      <c r="DJ23" s="80" t="str">
        <f t="shared" si="79"/>
        <v>N/A</v>
      </c>
      <c r="DK23" s="80"/>
      <c r="DL23" s="80" t="str">
        <f t="shared" si="80"/>
        <v>N/A</v>
      </c>
      <c r="DM23" s="80"/>
      <c r="DN23" s="80" t="str">
        <f t="shared" si="81"/>
        <v>N/A</v>
      </c>
      <c r="DO23" s="80"/>
      <c r="DP23" s="80">
        <f t="shared" si="82"/>
        <v>0</v>
      </c>
      <c r="DQ23" s="80"/>
      <c r="DR23" s="80" t="str">
        <f t="shared" si="83"/>
        <v>N/A</v>
      </c>
      <c r="DS23" s="80"/>
      <c r="DT23" s="80" t="str">
        <f t="shared" si="84"/>
        <v>N/A</v>
      </c>
      <c r="DU23" s="80"/>
      <c r="DV23" s="80" t="str">
        <f t="shared" si="85"/>
        <v>N/A</v>
      </c>
      <c r="DW23" s="80"/>
      <c r="DX23" s="80">
        <f t="shared" si="86"/>
        <v>0</v>
      </c>
      <c r="DY23" s="80"/>
      <c r="DZ23" s="80" t="str">
        <f t="shared" si="87"/>
        <v>N/A</v>
      </c>
      <c r="EA23" s="80"/>
      <c r="EB23" s="80" t="str">
        <f t="shared" si="88"/>
        <v>N/A</v>
      </c>
      <c r="EC23" s="80"/>
      <c r="ED23" s="80" t="str">
        <f t="shared" si="89"/>
        <v>N/A</v>
      </c>
      <c r="EF23" s="61"/>
      <c r="EG23" s="61">
        <f t="shared" si="90"/>
        <v>0</v>
      </c>
      <c r="EH23" s="61">
        <f t="shared" si="91"/>
        <v>0</v>
      </c>
      <c r="EI23" s="80" t="str">
        <f t="shared" si="9"/>
        <v>N/A</v>
      </c>
      <c r="EJ23" s="227" t="str">
        <f t="shared" si="92"/>
        <v>No</v>
      </c>
      <c r="EK23" s="121" t="str">
        <f t="shared" si="10"/>
        <v>No</v>
      </c>
      <c r="EL23" s="80" t="str">
        <f t="shared" si="11"/>
        <v>N/A</v>
      </c>
      <c r="EM23" s="227" t="str">
        <f t="shared" si="93"/>
        <v>No</v>
      </c>
      <c r="EN23" s="121" t="str">
        <f t="shared" si="12"/>
        <v>No</v>
      </c>
      <c r="EO23" s="80" t="str">
        <f t="shared" si="94"/>
        <v>N/A</v>
      </c>
      <c r="EP23" s="227" t="str">
        <f t="shared" si="95"/>
        <v>No</v>
      </c>
      <c r="EQ23" s="121" t="str">
        <f t="shared" si="13"/>
        <v>No</v>
      </c>
      <c r="ER23" s="80" t="str">
        <f t="shared" si="14"/>
        <v>N/A</v>
      </c>
      <c r="ES23" s="227" t="str">
        <f t="shared" si="96"/>
        <v>No</v>
      </c>
      <c r="ET23" s="121" t="str">
        <f t="shared" si="15"/>
        <v>No</v>
      </c>
      <c r="EU23" s="199">
        <f t="shared" si="97"/>
        <v>-9999</v>
      </c>
      <c r="EV23" s="199">
        <f t="shared" si="98"/>
        <v>-9999</v>
      </c>
      <c r="EW23" s="200">
        <f t="shared" si="99"/>
        <v>0</v>
      </c>
      <c r="EX23" s="200">
        <f t="shared" si="100"/>
        <v>0</v>
      </c>
      <c r="EY23" s="200">
        <f t="shared" si="101"/>
        <v>0</v>
      </c>
      <c r="EZ23" s="61">
        <f t="shared" si="102"/>
        <v>0</v>
      </c>
      <c r="FA23" s="113" t="str">
        <f>IF(EG23=0,"N/A",IF(EU23&gt;EU$33,A23,IF(EY23&gt;EY$33,A23,IF(AND(EY23=EY$33,COUNTIF(EY$18:EY23,EY$33)&lt;=EZ$35),A23,"N/A"))))</f>
        <v>N/A</v>
      </c>
      <c r="FB23" s="114" t="str">
        <f>IF(OR(COUNTIF(FA$18:FA$30,"N/A")&gt;=13,$AG$34&lt;6),"N/A",SMALL(FA$18:FA$30,6))</f>
        <v>N/A</v>
      </c>
      <c r="FC23" s="61" t="str">
        <f t="shared" si="16"/>
        <v>N/A</v>
      </c>
      <c r="FD23" s="61" t="str">
        <f t="shared" si="17"/>
        <v>N/A</v>
      </c>
      <c r="FE23" s="61" t="str">
        <f t="shared" si="18"/>
        <v>N/A</v>
      </c>
      <c r="FF23" s="61" t="str">
        <f t="shared" si="19"/>
        <v>N/A</v>
      </c>
      <c r="FG23" s="227" t="str">
        <f t="shared" si="103"/>
        <v>N/A</v>
      </c>
      <c r="FH23" s="227" t="str">
        <f t="shared" si="104"/>
        <v>N/A</v>
      </c>
      <c r="FK23" s="158">
        <f t="shared" si="105"/>
        <v>0</v>
      </c>
      <c r="FL23" s="158" t="str">
        <f>IF('Wrnt 9 Input'!$D$9="Northbound",Worksheet!U23,IF('Wrnt 9 Input'!$D$9="Southbound",Worksheet!V23,IF('Wrnt 9 Input'!$D$9="Eastbound",Worksheet!Y23,IF('Wrnt 9 Input'!$D$9="Westbound",Worksheet!Z23,"N/A"))))</f>
        <v>N/A</v>
      </c>
      <c r="FM23" s="200">
        <f t="shared" si="106"/>
        <v>0</v>
      </c>
      <c r="FN23" s="184" t="str">
        <f>IF('Wrnt 9 Input'!$B$13&lt;40,FL45,IF('Wrnt 9 Input'!$B$13&lt;60,FN45,IF('Wrnt 9 Input'!$B$13&lt;80,FP45,IF('Wrnt 9 Input'!$B$13&lt;100,FR45,IF('Wrnt 9 Input'!$B$13&lt;120,FT45,IF('Wrnt 9 Input'!$B$13&lt;=140,FV45,"N/A"))))))</f>
        <v>N/A</v>
      </c>
      <c r="FO23" s="227" t="str">
        <f t="shared" si="107"/>
        <v>No</v>
      </c>
      <c r="FP23" s="196">
        <f t="shared" si="20"/>
        <v>-9999</v>
      </c>
      <c r="FQ23" s="196">
        <f t="shared" si="21"/>
        <v>0</v>
      </c>
      <c r="FR23" s="199">
        <f t="shared" si="108"/>
        <v>0</v>
      </c>
      <c r="FS23" s="196">
        <f t="shared" si="22"/>
        <v>0</v>
      </c>
      <c r="FT23" s="113" t="str">
        <f>IF($AG23=0,"N/A",IF(FP23&gt;FP$33,$A23,IF(FR23&gt;FR$36,$A23,IF(AND(FR23=FR$36,COUNTIF(FR$18:FR23,FR$36)&lt;=FS$34),$A23,"N/A"))))</f>
        <v>N/A</v>
      </c>
      <c r="FU23" s="114" t="str">
        <f>IF(OR(COUNTIF(FT$18:FT$30,"N/A")&gt;=13,$AG$34&lt;6),"N/A",SMALL(FT$18:FT$30,6))</f>
        <v>N/A</v>
      </c>
      <c r="FV23" s="196" t="str">
        <f t="shared" si="109"/>
        <v>N/A</v>
      </c>
      <c r="FW23" s="196" t="str">
        <f t="shared" si="23"/>
        <v>N/A</v>
      </c>
      <c r="FX23" s="227" t="str">
        <f t="shared" si="110"/>
        <v>N/A</v>
      </c>
      <c r="FY23" s="196" t="str">
        <f t="shared" si="111"/>
        <v>N/A</v>
      </c>
    </row>
    <row r="24" spans="1:186">
      <c r="A24" s="113">
        <v>0.5</v>
      </c>
      <c r="B24" s="61" t="s">
        <v>93</v>
      </c>
      <c r="C24" s="4" t="s">
        <v>37</v>
      </c>
      <c r="D24" s="4">
        <f>'Input Sheet'!D42</f>
        <v>0</v>
      </c>
      <c r="E24" s="4">
        <f>'Input Sheet'!E42</f>
        <v>0</v>
      </c>
      <c r="F24" s="4">
        <f>'Input Sheet'!F42</f>
        <v>0</v>
      </c>
      <c r="G24" s="4">
        <f>'Input Sheet'!G42</f>
        <v>0</v>
      </c>
      <c r="H24" s="4">
        <f>'Input Sheet'!H42</f>
        <v>0</v>
      </c>
      <c r="I24" s="4">
        <f>'Input Sheet'!I42</f>
        <v>0</v>
      </c>
      <c r="J24" s="4">
        <f>'Input Sheet'!J42</f>
        <v>0</v>
      </c>
      <c r="K24" s="4">
        <f>'Input Sheet'!K42</f>
        <v>0</v>
      </c>
      <c r="L24" s="4">
        <f>'Input Sheet'!L42</f>
        <v>0</v>
      </c>
      <c r="M24" s="4">
        <f>'Input Sheet'!M42</f>
        <v>0</v>
      </c>
      <c r="N24" s="4">
        <f>'Input Sheet'!N42</f>
        <v>0</v>
      </c>
      <c r="O24" s="4">
        <f>'Input Sheet'!O42</f>
        <v>0</v>
      </c>
      <c r="P24" s="4">
        <f>'Input Sheet'!P42</f>
        <v>0</v>
      </c>
      <c r="Q24" s="4">
        <f>'Input Sheet'!Q42</f>
        <v>0</v>
      </c>
      <c r="R24" s="4">
        <f>'Input Sheet'!R42</f>
        <v>0</v>
      </c>
      <c r="S24" s="4">
        <f>'Input Sheet'!S42</f>
        <v>0</v>
      </c>
      <c r="U24" s="43">
        <f t="shared" si="24"/>
        <v>0</v>
      </c>
      <c r="V24" s="3">
        <f t="shared" si="25"/>
        <v>0</v>
      </c>
      <c r="W24" s="3">
        <f t="shared" si="26"/>
        <v>0</v>
      </c>
      <c r="X24" s="3">
        <f t="shared" si="27"/>
        <v>0</v>
      </c>
      <c r="Y24" s="3">
        <f t="shared" si="28"/>
        <v>0</v>
      </c>
      <c r="Z24" s="3">
        <f t="shared" si="29"/>
        <v>0</v>
      </c>
      <c r="AA24" s="3">
        <f t="shared" si="30"/>
        <v>0</v>
      </c>
      <c r="AB24" s="3">
        <f t="shared" si="31"/>
        <v>0</v>
      </c>
      <c r="AC24" s="55">
        <f t="shared" si="32"/>
        <v>0</v>
      </c>
      <c r="AD24" s="3"/>
      <c r="AE24" s="3">
        <f t="shared" si="33"/>
        <v>0</v>
      </c>
      <c r="AF24" s="3">
        <f t="shared" si="34"/>
        <v>0</v>
      </c>
      <c r="AG24" s="3">
        <f t="shared" si="0"/>
        <v>0</v>
      </c>
      <c r="AH24" s="3"/>
      <c r="AI24" s="3">
        <f t="shared" si="35"/>
        <v>-455</v>
      </c>
      <c r="AJ24" s="3">
        <f t="shared" si="36"/>
        <v>0</v>
      </c>
      <c r="AK24" s="3">
        <f t="shared" si="37"/>
        <v>0</v>
      </c>
      <c r="AL24" s="3">
        <f t="shared" si="38"/>
        <v>0</v>
      </c>
      <c r="AM24" s="114" t="str">
        <f>IF($AG24=0,"N/A",IF(AI24&gt;AI$41,$A24,IF(AK24&gt;AK$36,$A24,IF(AND(AK24=AK$36,COUNTIF(AK$18:AK24,AK$36)&lt;=AL$34),$A24,"N/A"))))</f>
        <v>N/A</v>
      </c>
      <c r="AN24" s="114" t="str">
        <f>IF(OR(COUNTIF(AM$18:AM$30,"N/A")&gt;=13,$AG$34&lt;7),"N/A",SMALL(AM$18:AM$30,7))</f>
        <v>N/A</v>
      </c>
      <c r="AO24" s="3" t="str">
        <f t="shared" si="1"/>
        <v>N/A</v>
      </c>
      <c r="AP24" s="3" t="str">
        <f t="shared" si="2"/>
        <v>N/A</v>
      </c>
      <c r="AQ24" s="3"/>
      <c r="AR24" s="3">
        <f t="shared" si="39"/>
        <v>-578</v>
      </c>
      <c r="AS24" s="3">
        <f t="shared" si="40"/>
        <v>0</v>
      </c>
      <c r="AT24" s="3">
        <f t="shared" si="41"/>
        <v>0</v>
      </c>
      <c r="AU24" s="3">
        <f t="shared" si="42"/>
        <v>0</v>
      </c>
      <c r="AV24" s="114" t="str">
        <f>IF($AG24=0,"N/A",IF(AR24&gt;AR$41,$A24,IF(AT24&gt;AT$36,$A24,IF(AND(AT24=AT$36,COUNTIF(AT$18:AT24,AT$36)&lt;=AU$34),$A24,"N/A"))))</f>
        <v>N/A</v>
      </c>
      <c r="AW24" s="114" t="str">
        <f>IF(OR(COUNTIF(AV$18:AV$30,"N/A")&gt;=13,$AG$34&lt;7),"N/A",SMALL(AV$18:AV$30,7))</f>
        <v>N/A</v>
      </c>
      <c r="AX24" s="3" t="str">
        <f t="shared" si="43"/>
        <v>N/A</v>
      </c>
      <c r="AY24" s="3" t="str">
        <f t="shared" si="44"/>
        <v>N/A</v>
      </c>
      <c r="AZ24" s="3"/>
      <c r="BA24" s="61">
        <f t="shared" si="45"/>
        <v>-364</v>
      </c>
      <c r="BB24" s="61">
        <f t="shared" si="46"/>
        <v>0</v>
      </c>
      <c r="BC24" s="61">
        <f t="shared" si="47"/>
        <v>0</v>
      </c>
      <c r="BD24" s="61">
        <f t="shared" si="48"/>
        <v>0</v>
      </c>
      <c r="BE24" s="113" t="str">
        <f>IF($AG24=0,"N/A",IF(BA24&gt;BA$41,$A24,IF(BC24&gt;BC$36,$A24,IF(AND(BC24=BC$36,COUNTIF(BC$18:BC24,BC$36)&lt;=BD$34),$A24,"N/A"))))</f>
        <v>N/A</v>
      </c>
      <c r="BF24" s="114" t="str">
        <f>IF(OR(COUNTIF(BE$18:BE$30,"N/A")&gt;=13,$AG$34&lt;7),"N/A",SMALL(BE$18:BE$30,7))</f>
        <v>N/A</v>
      </c>
      <c r="BG24" s="61" t="str">
        <f t="shared" si="3"/>
        <v>N/A</v>
      </c>
      <c r="BH24" s="61" t="str">
        <f t="shared" si="4"/>
        <v>N/A</v>
      </c>
      <c r="BJ24" s="61">
        <f t="shared" si="49"/>
        <v>-462</v>
      </c>
      <c r="BK24" s="61">
        <f t="shared" si="50"/>
        <v>0</v>
      </c>
      <c r="BL24" s="61">
        <f t="shared" si="51"/>
        <v>0</v>
      </c>
      <c r="BM24" s="61">
        <f t="shared" si="52"/>
        <v>0</v>
      </c>
      <c r="BN24" s="113" t="str">
        <f>IF($AG24=0,"N/A",IF(BJ24&gt;BJ$41,$A24,IF(BL24&gt;BL$36,$A24,IF(AND(BL24=BL$36,COUNTIF(BL$18:BL24,BL$36)&lt;=BM$34),$A24,"N/A"))))</f>
        <v>N/A</v>
      </c>
      <c r="BO24" s="114" t="str">
        <f>IF(OR(COUNTIF(BN$18:BN$30,"N/A")&gt;=13,$AG$34&lt;7),"N/A",SMALL(BN$18:BN$30,7))</f>
        <v>N/A</v>
      </c>
      <c r="BP24" s="61" t="str">
        <f t="shared" si="53"/>
        <v>N/A</v>
      </c>
      <c r="BQ24" s="61" t="str">
        <f t="shared" si="54"/>
        <v>N/A</v>
      </c>
      <c r="BS24" s="61">
        <f t="shared" si="55"/>
        <v>0</v>
      </c>
      <c r="BT24" s="61" t="str">
        <f>IF($BT$6="Yes",IF(AND('Pg 1'!$N$10&gt;1,'Pg 1'!$N$12&gt;1),$DJ24,IF(AND('Pg 1'!$N$10&gt;1,'Pg 1'!$N$12=1),$DL24,$DN24)),IF(AND('Pg 1'!$N$10&gt;1,'Pg 1'!$N$12&gt;1),$DB24,IF(AND('Pg 1'!$N$10&gt;1,'Pg 1'!$N$12=1),$DD24,$DF24)))</f>
        <v>N/A</v>
      </c>
      <c r="BU24" s="225" t="str">
        <f t="shared" si="56"/>
        <v>No</v>
      </c>
      <c r="BV24" s="61">
        <f t="shared" si="57"/>
        <v>-9999</v>
      </c>
      <c r="BW24" s="61">
        <f t="shared" si="58"/>
        <v>0</v>
      </c>
      <c r="BX24" s="61">
        <f t="shared" si="59"/>
        <v>0</v>
      </c>
      <c r="BY24" s="61">
        <f t="shared" si="60"/>
        <v>0</v>
      </c>
      <c r="BZ24" s="113" t="str">
        <f>IF($AG24=0,"N/A",IF(BV24&gt;BV$33,$A24,IF(BX24&gt;BX$36,$A24,IF(AND(BX24=BX$36,COUNTIF(BX$18:BX24,BX$36)&lt;=BY$34),$A24,"N/A"))))</f>
        <v>N/A</v>
      </c>
      <c r="CA24" s="114" t="str">
        <f>IF(OR(COUNTIF(BZ$18:BZ$30,"N/A")&gt;=13,$AG$34&lt;7),"N/A",SMALL(BZ$18:BZ$30,7))</f>
        <v>N/A</v>
      </c>
      <c r="CB24" s="61" t="str">
        <f t="shared" si="61"/>
        <v>N/A</v>
      </c>
      <c r="CC24" s="61" t="str">
        <f t="shared" si="62"/>
        <v>N/A</v>
      </c>
      <c r="CD24" s="61" t="str">
        <f t="shared" si="5"/>
        <v>N/A</v>
      </c>
      <c r="CE24" s="225" t="str">
        <f t="shared" si="63"/>
        <v>N/A</v>
      </c>
      <c r="CG24" s="61">
        <f t="shared" si="64"/>
        <v>0</v>
      </c>
      <c r="CH24" s="61">
        <f t="shared" si="6"/>
        <v>-750</v>
      </c>
      <c r="CI24" s="113" t="str">
        <f t="shared" si="7"/>
        <v>N/A</v>
      </c>
      <c r="CK24" s="61">
        <f t="shared" si="65"/>
        <v>0</v>
      </c>
      <c r="CL24" s="61" t="str">
        <f>IF($BT$6="Yes",IF(AND('Pg 1'!$N$10&gt;1,'Pg 1'!$N$12&gt;1),$DZ24,IF(AND('Pg 1'!$N$10&gt;1,'Pg 1'!$N$12=1),$EB24,ED24)),IF(AND('Pg 1'!$N$10&gt;1,'Pg 1'!$N$12&gt;1),$DR24,IF(AND('Pg 1'!$N$10&gt;1,'Pg 1'!$N$12=1),$DT24,$DV24)))</f>
        <v>N/A</v>
      </c>
      <c r="CM24" s="225" t="str">
        <f t="shared" si="66"/>
        <v>No</v>
      </c>
      <c r="CN24" s="61">
        <f t="shared" si="67"/>
        <v>-9999</v>
      </c>
      <c r="CO24" s="61">
        <f t="shared" si="68"/>
        <v>0</v>
      </c>
      <c r="CP24" s="61">
        <f t="shared" si="69"/>
        <v>0</v>
      </c>
      <c r="CQ24" s="61">
        <f t="shared" si="70"/>
        <v>0</v>
      </c>
      <c r="CR24" s="113" t="str">
        <f>IF($AG24=0,"N/A",IF(CN24&gt;CN$33,$A24,IF(CP24&gt;CP$36,$A24,IF(AND(CP24=CP$36,COUNTIF(CP$18:CP24,CP$36)&lt;=CQ$34),$A24,"N/A"))))</f>
        <v>N/A</v>
      </c>
      <c r="CS24" s="114" t="str">
        <f>IF(OR(COUNTIF(CR$18:CR$30,"N/A")&gt;=13,$AG$34&lt;7),"N/A",SMALL(CR$18:CR$30,7))</f>
        <v>N/A</v>
      </c>
      <c r="CT24" s="61" t="str">
        <f t="shared" si="71"/>
        <v>N/A</v>
      </c>
      <c r="CU24" s="61" t="str">
        <f t="shared" si="72"/>
        <v>N/A</v>
      </c>
      <c r="CV24" s="61" t="str">
        <f t="shared" si="8"/>
        <v>N/A</v>
      </c>
      <c r="CW24" s="225" t="str">
        <f t="shared" si="73"/>
        <v>N/A</v>
      </c>
      <c r="CZ24" s="80">
        <f t="shared" si="74"/>
        <v>0</v>
      </c>
      <c r="DA24" s="80"/>
      <c r="DB24" s="80" t="str">
        <f t="shared" si="75"/>
        <v>N/A</v>
      </c>
      <c r="DC24" s="80"/>
      <c r="DD24" s="80" t="str">
        <f t="shared" si="76"/>
        <v>N/A</v>
      </c>
      <c r="DE24" s="80"/>
      <c r="DF24" s="80" t="str">
        <f t="shared" si="77"/>
        <v>N/A</v>
      </c>
      <c r="DG24" s="80"/>
      <c r="DH24" s="80">
        <f t="shared" si="78"/>
        <v>0</v>
      </c>
      <c r="DI24" s="80"/>
      <c r="DJ24" s="80" t="str">
        <f t="shared" si="79"/>
        <v>N/A</v>
      </c>
      <c r="DK24" s="80"/>
      <c r="DL24" s="80" t="str">
        <f t="shared" si="80"/>
        <v>N/A</v>
      </c>
      <c r="DM24" s="80"/>
      <c r="DN24" s="80" t="str">
        <f t="shared" si="81"/>
        <v>N/A</v>
      </c>
      <c r="DO24" s="80"/>
      <c r="DP24" s="80">
        <f t="shared" si="82"/>
        <v>0</v>
      </c>
      <c r="DQ24" s="80"/>
      <c r="DR24" s="80" t="str">
        <f t="shared" si="83"/>
        <v>N/A</v>
      </c>
      <c r="DS24" s="80"/>
      <c r="DT24" s="80" t="str">
        <f t="shared" si="84"/>
        <v>N/A</v>
      </c>
      <c r="DU24" s="80"/>
      <c r="DV24" s="80" t="str">
        <f t="shared" si="85"/>
        <v>N/A</v>
      </c>
      <c r="DW24" s="80"/>
      <c r="DX24" s="80">
        <f t="shared" si="86"/>
        <v>0</v>
      </c>
      <c r="DY24" s="80"/>
      <c r="DZ24" s="80" t="str">
        <f t="shared" si="87"/>
        <v>N/A</v>
      </c>
      <c r="EA24" s="80"/>
      <c r="EB24" s="80" t="str">
        <f t="shared" si="88"/>
        <v>N/A</v>
      </c>
      <c r="EC24" s="80"/>
      <c r="ED24" s="80" t="str">
        <f t="shared" si="89"/>
        <v>N/A</v>
      </c>
      <c r="EF24" s="61"/>
      <c r="EG24" s="61">
        <f t="shared" si="90"/>
        <v>0</v>
      </c>
      <c r="EH24" s="61">
        <f t="shared" si="91"/>
        <v>0</v>
      </c>
      <c r="EI24" s="80" t="str">
        <f t="shared" si="9"/>
        <v>N/A</v>
      </c>
      <c r="EJ24" s="227" t="str">
        <f t="shared" si="92"/>
        <v>No</v>
      </c>
      <c r="EK24" s="121" t="str">
        <f t="shared" si="10"/>
        <v>No</v>
      </c>
      <c r="EL24" s="80" t="str">
        <f t="shared" si="11"/>
        <v>N/A</v>
      </c>
      <c r="EM24" s="227" t="str">
        <f t="shared" si="93"/>
        <v>No</v>
      </c>
      <c r="EN24" s="121" t="str">
        <f t="shared" si="12"/>
        <v>No</v>
      </c>
      <c r="EO24" s="80" t="str">
        <f t="shared" si="94"/>
        <v>N/A</v>
      </c>
      <c r="EP24" s="227" t="str">
        <f t="shared" si="95"/>
        <v>No</v>
      </c>
      <c r="EQ24" s="121" t="str">
        <f t="shared" si="13"/>
        <v>No</v>
      </c>
      <c r="ER24" s="80" t="str">
        <f t="shared" si="14"/>
        <v>N/A</v>
      </c>
      <c r="ES24" s="227" t="str">
        <f t="shared" si="96"/>
        <v>No</v>
      </c>
      <c r="ET24" s="121" t="str">
        <f t="shared" si="15"/>
        <v>No</v>
      </c>
      <c r="EU24" s="199">
        <f t="shared" si="97"/>
        <v>-9999</v>
      </c>
      <c r="EV24" s="199">
        <f t="shared" si="98"/>
        <v>-9999</v>
      </c>
      <c r="EW24" s="200">
        <f t="shared" si="99"/>
        <v>0</v>
      </c>
      <c r="EX24" s="200">
        <f t="shared" si="100"/>
        <v>0</v>
      </c>
      <c r="EY24" s="200">
        <f t="shared" si="101"/>
        <v>0</v>
      </c>
      <c r="EZ24" s="61">
        <f t="shared" si="102"/>
        <v>0</v>
      </c>
      <c r="FA24" s="113" t="str">
        <f>IF(EG24=0,"N/A",IF(EU24&gt;EU$33,A24,IF(EY24&gt;EY$33,A24,IF(AND(EY24=EY$33,COUNTIF(EY$18:EY24,EY$33)&lt;=EZ$35),A24,"N/A"))))</f>
        <v>N/A</v>
      </c>
      <c r="FB24" s="114" t="str">
        <f>IF(OR(COUNTIF(FA$18:FA$30,"N/A")&gt;=13,$AG$34&lt;7),"N/A",SMALL(FA$18:FA$30,7))</f>
        <v>N/A</v>
      </c>
      <c r="FC24" s="61" t="str">
        <f t="shared" si="16"/>
        <v>N/A</v>
      </c>
      <c r="FD24" s="61" t="str">
        <f t="shared" si="17"/>
        <v>N/A</v>
      </c>
      <c r="FE24" s="61" t="str">
        <f t="shared" si="18"/>
        <v>N/A</v>
      </c>
      <c r="FF24" s="61" t="str">
        <f t="shared" si="19"/>
        <v>N/A</v>
      </c>
      <c r="FG24" s="227" t="str">
        <f t="shared" si="103"/>
        <v>N/A</v>
      </c>
      <c r="FH24" s="227" t="str">
        <f t="shared" si="104"/>
        <v>N/A</v>
      </c>
      <c r="FK24" s="158">
        <f t="shared" si="105"/>
        <v>0</v>
      </c>
      <c r="FL24" s="158" t="str">
        <f>IF('Wrnt 9 Input'!$D$9="Northbound",Worksheet!U24,IF('Wrnt 9 Input'!$D$9="Southbound",Worksheet!V24,IF('Wrnt 9 Input'!$D$9="Eastbound",Worksheet!Y24,IF('Wrnt 9 Input'!$D$9="Westbound",Worksheet!Z24,"N/A"))))</f>
        <v>N/A</v>
      </c>
      <c r="FM24" s="200">
        <f t="shared" si="106"/>
        <v>0</v>
      </c>
      <c r="FN24" s="184" t="str">
        <f>IF('Wrnt 9 Input'!$B$13&lt;40,FL46,IF('Wrnt 9 Input'!$B$13&lt;60,FN46,IF('Wrnt 9 Input'!$B$13&lt;80,FP46,IF('Wrnt 9 Input'!$B$13&lt;100,FR46,IF('Wrnt 9 Input'!$B$13&lt;120,FT46,IF('Wrnt 9 Input'!$B$13&lt;=140,FV46,"N/A"))))))</f>
        <v>N/A</v>
      </c>
      <c r="FO24" s="227" t="str">
        <f t="shared" si="107"/>
        <v>No</v>
      </c>
      <c r="FP24" s="196">
        <f t="shared" si="20"/>
        <v>-9999</v>
      </c>
      <c r="FQ24" s="196">
        <f t="shared" si="21"/>
        <v>0</v>
      </c>
      <c r="FR24" s="199">
        <f t="shared" si="108"/>
        <v>0</v>
      </c>
      <c r="FS24" s="196">
        <f t="shared" si="22"/>
        <v>0</v>
      </c>
      <c r="FT24" s="113" t="str">
        <f>IF($AG24=0,"N/A",IF(FP24&gt;FP$33,$A24,IF(FR24&gt;FR$36,$A24,IF(AND(FR24=FR$36,COUNTIF(FR$18:FR24,FR$36)&lt;=FS$34),$A24,"N/A"))))</f>
        <v>N/A</v>
      </c>
      <c r="FU24" s="114" t="str">
        <f>IF(OR(COUNTIF(FT$18:FT$30,"N/A")&gt;=13,$AG$34&lt;7),"N/A",SMALL(FT$18:FT$30,7))</f>
        <v>N/A</v>
      </c>
      <c r="FV24" s="196" t="str">
        <f t="shared" si="109"/>
        <v>N/A</v>
      </c>
      <c r="FW24" s="196" t="str">
        <f t="shared" si="23"/>
        <v>N/A</v>
      </c>
      <c r="FX24" s="227" t="str">
        <f t="shared" si="110"/>
        <v>N/A</v>
      </c>
      <c r="FY24" s="196" t="str">
        <f t="shared" si="111"/>
        <v>N/A</v>
      </c>
    </row>
    <row r="25" spans="1:186">
      <c r="A25" s="113">
        <v>0.54166666666666663</v>
      </c>
      <c r="B25" s="61" t="s">
        <v>162</v>
      </c>
      <c r="C25" s="4" t="s">
        <v>38</v>
      </c>
      <c r="D25" s="4">
        <f>'Input Sheet'!D43</f>
        <v>0</v>
      </c>
      <c r="E25" s="4">
        <f>'Input Sheet'!E43</f>
        <v>0</v>
      </c>
      <c r="F25" s="4">
        <f>'Input Sheet'!F43</f>
        <v>0</v>
      </c>
      <c r="G25" s="4">
        <f>'Input Sheet'!G43</f>
        <v>0</v>
      </c>
      <c r="H25" s="4">
        <f>'Input Sheet'!H43</f>
        <v>0</v>
      </c>
      <c r="I25" s="4">
        <f>'Input Sheet'!I43</f>
        <v>0</v>
      </c>
      <c r="J25" s="4">
        <f>'Input Sheet'!J43</f>
        <v>0</v>
      </c>
      <c r="K25" s="4">
        <f>'Input Sheet'!K43</f>
        <v>0</v>
      </c>
      <c r="L25" s="4">
        <f>'Input Sheet'!L43</f>
        <v>0</v>
      </c>
      <c r="M25" s="4">
        <f>'Input Sheet'!M43</f>
        <v>0</v>
      </c>
      <c r="N25" s="4">
        <f>'Input Sheet'!N43</f>
        <v>0</v>
      </c>
      <c r="O25" s="4">
        <f>'Input Sheet'!O43</f>
        <v>0</v>
      </c>
      <c r="P25" s="4">
        <f>'Input Sheet'!P43</f>
        <v>0</v>
      </c>
      <c r="Q25" s="4">
        <f>'Input Sheet'!Q43</f>
        <v>0</v>
      </c>
      <c r="R25" s="4">
        <f>'Input Sheet'!R43</f>
        <v>0</v>
      </c>
      <c r="S25" s="4">
        <f>'Input Sheet'!S43</f>
        <v>0</v>
      </c>
      <c r="U25" s="43">
        <f t="shared" si="24"/>
        <v>0</v>
      </c>
      <c r="V25" s="3">
        <f t="shared" si="25"/>
        <v>0</v>
      </c>
      <c r="W25" s="3">
        <f t="shared" si="26"/>
        <v>0</v>
      </c>
      <c r="X25" s="3">
        <f t="shared" si="27"/>
        <v>0</v>
      </c>
      <c r="Y25" s="3">
        <f t="shared" si="28"/>
        <v>0</v>
      </c>
      <c r="Z25" s="3">
        <f t="shared" si="29"/>
        <v>0</v>
      </c>
      <c r="AA25" s="3">
        <f t="shared" si="30"/>
        <v>0</v>
      </c>
      <c r="AB25" s="3">
        <f t="shared" si="31"/>
        <v>0</v>
      </c>
      <c r="AC25" s="55">
        <f t="shared" si="32"/>
        <v>0</v>
      </c>
      <c r="AD25" s="3"/>
      <c r="AE25" s="3">
        <f t="shared" si="33"/>
        <v>0</v>
      </c>
      <c r="AF25" s="3">
        <f t="shared" si="34"/>
        <v>0</v>
      </c>
      <c r="AG25" s="3">
        <f t="shared" si="0"/>
        <v>0</v>
      </c>
      <c r="AH25" s="3"/>
      <c r="AI25" s="3">
        <f t="shared" si="35"/>
        <v>-455</v>
      </c>
      <c r="AJ25" s="3">
        <f t="shared" si="36"/>
        <v>0</v>
      </c>
      <c r="AK25" s="3">
        <f t="shared" si="37"/>
        <v>0</v>
      </c>
      <c r="AL25" s="3">
        <f t="shared" si="38"/>
        <v>0</v>
      </c>
      <c r="AM25" s="114" t="str">
        <f>IF($AG25=0,"N/A",IF(AI25&gt;AI$41,$A25,IF(AK25&gt;AK$36,$A25,IF(AND(AK25=AK$36,COUNTIF(AK$18:AK25,AK$36)&lt;=AL$34),$A25,"N/A"))))</f>
        <v>N/A</v>
      </c>
      <c r="AN25" s="114" t="str">
        <f>IF(OR(COUNTIF(AM$18:AM$30,"N/A")&gt;=13,$AG$34&lt;8),"N/A",SMALL(AM$18:AM$30,8))</f>
        <v>N/A</v>
      </c>
      <c r="AO25" s="3" t="str">
        <f t="shared" si="1"/>
        <v>N/A</v>
      </c>
      <c r="AP25" s="3" t="str">
        <f t="shared" si="2"/>
        <v>N/A</v>
      </c>
      <c r="AQ25" s="3"/>
      <c r="AR25" s="3">
        <f t="shared" si="39"/>
        <v>-578</v>
      </c>
      <c r="AS25" s="3">
        <f t="shared" si="40"/>
        <v>0</v>
      </c>
      <c r="AT25" s="3">
        <f t="shared" si="41"/>
        <v>0</v>
      </c>
      <c r="AU25" s="3">
        <f t="shared" si="42"/>
        <v>0</v>
      </c>
      <c r="AV25" s="114" t="str">
        <f>IF($AG25=0,"N/A",IF(AR25&gt;AR$41,$A25,IF(AT25&gt;AT$36,$A25,IF(AND(AT25=AT$36,COUNTIF(AT$18:AT25,AT$36)&lt;=AU$34),$A25,"N/A"))))</f>
        <v>N/A</v>
      </c>
      <c r="AW25" s="114" t="str">
        <f>IF(OR(COUNTIF(AV$18:AV$30,"N/A")&gt;=13,$AG$34&lt;8),"N/A",SMALL(AV$18:AV$30,8))</f>
        <v>N/A</v>
      </c>
      <c r="AX25" s="3" t="str">
        <f t="shared" si="43"/>
        <v>N/A</v>
      </c>
      <c r="AY25" s="3" t="str">
        <f t="shared" si="44"/>
        <v>N/A</v>
      </c>
      <c r="AZ25" s="3"/>
      <c r="BA25" s="61">
        <f t="shared" si="45"/>
        <v>-364</v>
      </c>
      <c r="BB25" s="61">
        <f t="shared" si="46"/>
        <v>0</v>
      </c>
      <c r="BC25" s="61">
        <f t="shared" si="47"/>
        <v>0</v>
      </c>
      <c r="BD25" s="61">
        <f t="shared" si="48"/>
        <v>0</v>
      </c>
      <c r="BE25" s="113" t="str">
        <f>IF($AG25=0,"N/A",IF(BA25&gt;BA$41,$A25,IF(BC25&gt;BC$36,$A25,IF(AND(BC25=BC$36,COUNTIF(BC$18:BC25,BC$36)&lt;=BD$34),$A25,"N/A"))))</f>
        <v>N/A</v>
      </c>
      <c r="BF25" s="114" t="str">
        <f>IF(OR(COUNTIF(BE$18:BE$30,"N/A")&gt;=13,$AG$34&lt;8),"N/A",SMALL(BE$18:BE$30,8))</f>
        <v>N/A</v>
      </c>
      <c r="BG25" s="61" t="str">
        <f t="shared" si="3"/>
        <v>N/A</v>
      </c>
      <c r="BH25" s="61" t="str">
        <f t="shared" si="4"/>
        <v>N/A</v>
      </c>
      <c r="BJ25" s="61">
        <f t="shared" si="49"/>
        <v>-462</v>
      </c>
      <c r="BK25" s="61">
        <f t="shared" si="50"/>
        <v>0</v>
      </c>
      <c r="BL25" s="61">
        <f t="shared" si="51"/>
        <v>0</v>
      </c>
      <c r="BM25" s="61">
        <f t="shared" si="52"/>
        <v>0</v>
      </c>
      <c r="BN25" s="113" t="str">
        <f>IF($AG25=0,"N/A",IF(BJ25&gt;BJ$41,$A25,IF(BL25&gt;BL$36,$A25,IF(AND(BL25=BL$36,COUNTIF(BL$18:BL25,BL$36)&lt;=BM$34),$A25,"N/A"))))</f>
        <v>N/A</v>
      </c>
      <c r="BO25" s="114" t="str">
        <f>IF(OR(COUNTIF(BN$18:BN$30,"N/A")&gt;=13,$AG$34&lt;8),"N/A",SMALL(BN$18:BN$30,8))</f>
        <v>N/A</v>
      </c>
      <c r="BP25" s="61" t="str">
        <f t="shared" si="53"/>
        <v>N/A</v>
      </c>
      <c r="BQ25" s="61" t="str">
        <f t="shared" si="54"/>
        <v>N/A</v>
      </c>
      <c r="BS25" s="61">
        <f t="shared" si="55"/>
        <v>0</v>
      </c>
      <c r="BT25" s="61" t="str">
        <f>IF($BT$6="Yes",IF(AND('Pg 1'!$N$10&gt;1,'Pg 1'!$N$12&gt;1),$DJ25,IF(AND('Pg 1'!$N$10&gt;1,'Pg 1'!$N$12=1),$DL25,$DN25)),IF(AND('Pg 1'!$N$10&gt;1,'Pg 1'!$N$12&gt;1),$DB25,IF(AND('Pg 1'!$N$10&gt;1,'Pg 1'!$N$12=1),$DD25,$DF25)))</f>
        <v>N/A</v>
      </c>
      <c r="BU25" s="225" t="str">
        <f t="shared" si="56"/>
        <v>No</v>
      </c>
      <c r="BV25" s="61">
        <f t="shared" si="57"/>
        <v>-9999</v>
      </c>
      <c r="BW25" s="61">
        <f t="shared" si="58"/>
        <v>0</v>
      </c>
      <c r="BX25" s="61">
        <f t="shared" si="59"/>
        <v>0</v>
      </c>
      <c r="BY25" s="61">
        <f t="shared" si="60"/>
        <v>0</v>
      </c>
      <c r="BZ25" s="113" t="str">
        <f>IF($AG25=0,"N/A",IF(BV25&gt;BV$33,$A25,IF(BX25&gt;BX$36,$A25,IF(AND(BX25=BX$36,COUNTIF(BX$18:BX25,BX$36)&lt;=BY$34),$A25,"N/A"))))</f>
        <v>N/A</v>
      </c>
      <c r="CA25" s="114" t="str">
        <f>IF(OR(COUNTIF(BZ$18:BZ$30,"N/A")&gt;=13,$AG$34&lt;8),"N/A",SMALL(BZ$18:BZ$30,8))</f>
        <v>N/A</v>
      </c>
      <c r="CB25" s="61" t="str">
        <f t="shared" si="61"/>
        <v>N/A</v>
      </c>
      <c r="CC25" s="61" t="str">
        <f t="shared" si="62"/>
        <v>N/A</v>
      </c>
      <c r="CD25" s="61" t="str">
        <f t="shared" si="5"/>
        <v>N/A</v>
      </c>
      <c r="CE25" s="225" t="str">
        <f t="shared" si="63"/>
        <v>N/A</v>
      </c>
      <c r="CG25" s="61">
        <f t="shared" si="64"/>
        <v>0</v>
      </c>
      <c r="CH25" s="61">
        <f t="shared" si="6"/>
        <v>-750</v>
      </c>
      <c r="CI25" s="113" t="str">
        <f t="shared" si="7"/>
        <v>N/A</v>
      </c>
      <c r="CK25" s="61">
        <f t="shared" si="65"/>
        <v>0</v>
      </c>
      <c r="CL25" s="61" t="str">
        <f>IF($BT$6="Yes",IF(AND('Pg 1'!$N$10&gt;1,'Pg 1'!$N$12&gt;1),$DZ25,IF(AND('Pg 1'!$N$10&gt;1,'Pg 1'!$N$12=1),$EB25,ED25)),IF(AND('Pg 1'!$N$10&gt;1,'Pg 1'!$N$12&gt;1),$DR25,IF(AND('Pg 1'!$N$10&gt;1,'Pg 1'!$N$12=1),$DT25,$DV25)))</f>
        <v>N/A</v>
      </c>
      <c r="CM25" s="225" t="str">
        <f t="shared" si="66"/>
        <v>No</v>
      </c>
      <c r="CN25" s="61">
        <f t="shared" si="67"/>
        <v>-9999</v>
      </c>
      <c r="CO25" s="61">
        <f t="shared" si="68"/>
        <v>0</v>
      </c>
      <c r="CP25" s="61">
        <f t="shared" si="69"/>
        <v>0</v>
      </c>
      <c r="CQ25" s="61">
        <f t="shared" si="70"/>
        <v>0</v>
      </c>
      <c r="CR25" s="113" t="str">
        <f>IF($AG25=0,"N/A",IF(CN25&gt;CN$33,$A25,IF(CP25&gt;CP$36,$A25,IF(AND(CP25=CP$36,COUNTIF(CP$18:CP25,CP$36)&lt;=CQ$34),$A25,"N/A"))))</f>
        <v>N/A</v>
      </c>
      <c r="CS25" s="114" t="str">
        <f>IF(OR(COUNTIF(CR$18:CR$30,"N/A")&gt;=13,$AG$34&lt;8),"N/A",SMALL(CR$18:CR$30,8))</f>
        <v>N/A</v>
      </c>
      <c r="CT25" s="61" t="str">
        <f t="shared" si="71"/>
        <v>N/A</v>
      </c>
      <c r="CU25" s="61" t="str">
        <f t="shared" si="72"/>
        <v>N/A</v>
      </c>
      <c r="CV25" s="61" t="str">
        <f t="shared" si="8"/>
        <v>N/A</v>
      </c>
      <c r="CW25" s="225" t="str">
        <f t="shared" si="73"/>
        <v>N/A</v>
      </c>
      <c r="CZ25" s="80">
        <f t="shared" si="74"/>
        <v>0</v>
      </c>
      <c r="DA25" s="80"/>
      <c r="DB25" s="80" t="str">
        <f t="shared" si="75"/>
        <v>N/A</v>
      </c>
      <c r="DC25" s="80"/>
      <c r="DD25" s="80" t="str">
        <f t="shared" si="76"/>
        <v>N/A</v>
      </c>
      <c r="DE25" s="80"/>
      <c r="DF25" s="80" t="str">
        <f t="shared" si="77"/>
        <v>N/A</v>
      </c>
      <c r="DG25" s="80"/>
      <c r="DH25" s="80">
        <f t="shared" si="78"/>
        <v>0</v>
      </c>
      <c r="DI25" s="80"/>
      <c r="DJ25" s="80" t="str">
        <f t="shared" si="79"/>
        <v>N/A</v>
      </c>
      <c r="DK25" s="80"/>
      <c r="DL25" s="80" t="str">
        <f t="shared" si="80"/>
        <v>N/A</v>
      </c>
      <c r="DM25" s="80"/>
      <c r="DN25" s="80" t="str">
        <f t="shared" si="81"/>
        <v>N/A</v>
      </c>
      <c r="DO25" s="80"/>
      <c r="DP25" s="80">
        <f t="shared" si="82"/>
        <v>0</v>
      </c>
      <c r="DQ25" s="80"/>
      <c r="DR25" s="80" t="str">
        <f t="shared" si="83"/>
        <v>N/A</v>
      </c>
      <c r="DS25" s="80"/>
      <c r="DT25" s="80" t="str">
        <f t="shared" si="84"/>
        <v>N/A</v>
      </c>
      <c r="DU25" s="80"/>
      <c r="DV25" s="80" t="str">
        <f t="shared" si="85"/>
        <v>N/A</v>
      </c>
      <c r="DW25" s="80"/>
      <c r="DX25" s="80">
        <f t="shared" si="86"/>
        <v>0</v>
      </c>
      <c r="DY25" s="80"/>
      <c r="DZ25" s="80" t="str">
        <f t="shared" si="87"/>
        <v>N/A</v>
      </c>
      <c r="EA25" s="80"/>
      <c r="EB25" s="80" t="str">
        <f t="shared" si="88"/>
        <v>N/A</v>
      </c>
      <c r="EC25" s="80"/>
      <c r="ED25" s="80" t="str">
        <f t="shared" si="89"/>
        <v>N/A</v>
      </c>
      <c r="EF25" s="61"/>
      <c r="EG25" s="61">
        <f t="shared" si="90"/>
        <v>0</v>
      </c>
      <c r="EH25" s="61">
        <f t="shared" si="91"/>
        <v>0</v>
      </c>
      <c r="EI25" s="80" t="str">
        <f t="shared" si="9"/>
        <v>N/A</v>
      </c>
      <c r="EJ25" s="227" t="str">
        <f t="shared" si="92"/>
        <v>No</v>
      </c>
      <c r="EK25" s="121" t="str">
        <f t="shared" si="10"/>
        <v>No</v>
      </c>
      <c r="EL25" s="80" t="str">
        <f t="shared" si="11"/>
        <v>N/A</v>
      </c>
      <c r="EM25" s="227" t="str">
        <f t="shared" si="93"/>
        <v>No</v>
      </c>
      <c r="EN25" s="121" t="str">
        <f t="shared" si="12"/>
        <v>No</v>
      </c>
      <c r="EO25" s="80" t="str">
        <f t="shared" si="94"/>
        <v>N/A</v>
      </c>
      <c r="EP25" s="227" t="str">
        <f t="shared" si="95"/>
        <v>No</v>
      </c>
      <c r="EQ25" s="121" t="str">
        <f t="shared" si="13"/>
        <v>No</v>
      </c>
      <c r="ER25" s="80" t="str">
        <f t="shared" si="14"/>
        <v>N/A</v>
      </c>
      <c r="ES25" s="227" t="str">
        <f t="shared" si="96"/>
        <v>No</v>
      </c>
      <c r="ET25" s="121" t="str">
        <f t="shared" si="15"/>
        <v>No</v>
      </c>
      <c r="EU25" s="199">
        <f t="shared" si="97"/>
        <v>-9999</v>
      </c>
      <c r="EV25" s="199">
        <f t="shared" si="98"/>
        <v>-9999</v>
      </c>
      <c r="EW25" s="200">
        <f t="shared" si="99"/>
        <v>0</v>
      </c>
      <c r="EX25" s="200">
        <f t="shared" si="100"/>
        <v>0</v>
      </c>
      <c r="EY25" s="200">
        <f t="shared" si="101"/>
        <v>0</v>
      </c>
      <c r="EZ25" s="61">
        <f t="shared" si="102"/>
        <v>0</v>
      </c>
      <c r="FA25" s="113" t="str">
        <f>IF(EG25=0,"N/A",IF(EU25&gt;EU$33,A25,IF(EY25&gt;EY$33,A25,IF(AND(EY25=EY$33,COUNTIF(EY$18:EY25,EY$33)&lt;=EZ$35),A25,"N/A"))))</f>
        <v>N/A</v>
      </c>
      <c r="FB25" s="114" t="str">
        <f>IF(OR(COUNTIF(FA$18:FA$30,"N/A")&gt;=13,$AG$34&lt;8),"N/A",SMALL(FA$18:FA$30,8))</f>
        <v>N/A</v>
      </c>
      <c r="FC25" s="61" t="str">
        <f t="shared" si="16"/>
        <v>N/A</v>
      </c>
      <c r="FD25" s="61" t="str">
        <f t="shared" si="17"/>
        <v>N/A</v>
      </c>
      <c r="FE25" s="61" t="str">
        <f t="shared" si="18"/>
        <v>N/A</v>
      </c>
      <c r="FF25" s="61" t="str">
        <f t="shared" si="19"/>
        <v>N/A</v>
      </c>
      <c r="FG25" s="227" t="str">
        <f t="shared" si="103"/>
        <v>N/A</v>
      </c>
      <c r="FH25" s="227" t="str">
        <f t="shared" si="104"/>
        <v>N/A</v>
      </c>
      <c r="FK25" s="158">
        <f t="shared" si="105"/>
        <v>0</v>
      </c>
      <c r="FL25" s="158" t="str">
        <f>IF('Wrnt 9 Input'!$D$9="Northbound",Worksheet!U25,IF('Wrnt 9 Input'!$D$9="Southbound",Worksheet!V25,IF('Wrnt 9 Input'!$D$9="Eastbound",Worksheet!Y25,IF('Wrnt 9 Input'!$D$9="Westbound",Worksheet!Z25,"N/A"))))</f>
        <v>N/A</v>
      </c>
      <c r="FM25" s="200">
        <f t="shared" si="106"/>
        <v>0</v>
      </c>
      <c r="FN25" s="184" t="str">
        <f>IF('Wrnt 9 Input'!$B$13&lt;40,FL47,IF('Wrnt 9 Input'!$B$13&lt;60,FN47,IF('Wrnt 9 Input'!$B$13&lt;80,FP47,IF('Wrnt 9 Input'!$B$13&lt;100,FR47,IF('Wrnt 9 Input'!$B$13&lt;120,FT47,IF('Wrnt 9 Input'!$B$13&lt;=140,FV47,"N/A"))))))</f>
        <v>N/A</v>
      </c>
      <c r="FO25" s="227" t="str">
        <f t="shared" si="107"/>
        <v>No</v>
      </c>
      <c r="FP25" s="196">
        <f t="shared" si="20"/>
        <v>-9999</v>
      </c>
      <c r="FQ25" s="196">
        <f t="shared" si="21"/>
        <v>0</v>
      </c>
      <c r="FR25" s="199">
        <f t="shared" si="108"/>
        <v>0</v>
      </c>
      <c r="FS25" s="196">
        <f t="shared" si="22"/>
        <v>0</v>
      </c>
      <c r="FT25" s="113" t="str">
        <f>IF($AG25=0,"N/A",IF(FP25&gt;FP$33,$A25,IF(FR25&gt;FR$36,$A25,IF(AND(FR25=FR$36,COUNTIF(FR$18:FR25,FR$36)&lt;=FS$34),$A25,"N/A"))))</f>
        <v>N/A</v>
      </c>
      <c r="FU25" s="114" t="str">
        <f>IF(OR(COUNTIF(FT$18:FT$30,"N/A")&gt;=13,$AG$34&lt;8),"N/A",SMALL(FT$18:FT$30,8))</f>
        <v>N/A</v>
      </c>
      <c r="FV25" s="196" t="str">
        <f t="shared" si="109"/>
        <v>N/A</v>
      </c>
      <c r="FW25" s="196" t="str">
        <f t="shared" si="23"/>
        <v>N/A</v>
      </c>
      <c r="FX25" s="227" t="str">
        <f t="shared" si="110"/>
        <v>N/A</v>
      </c>
      <c r="FY25" s="196" t="str">
        <f t="shared" si="111"/>
        <v>N/A</v>
      </c>
    </row>
    <row r="26" spans="1:186" ht="12.75" customHeight="1">
      <c r="A26" s="113">
        <v>0.58333333333333326</v>
      </c>
      <c r="B26" s="61" t="s">
        <v>163</v>
      </c>
      <c r="C26" s="4" t="s">
        <v>39</v>
      </c>
      <c r="D26" s="4">
        <f>'Input Sheet'!D44</f>
        <v>0</v>
      </c>
      <c r="E26" s="4">
        <f>'Input Sheet'!E44</f>
        <v>0</v>
      </c>
      <c r="F26" s="4">
        <f>'Input Sheet'!F44</f>
        <v>0</v>
      </c>
      <c r="G26" s="4">
        <f>'Input Sheet'!G44</f>
        <v>0</v>
      </c>
      <c r="H26" s="4">
        <f>'Input Sheet'!H44</f>
        <v>0</v>
      </c>
      <c r="I26" s="4">
        <f>'Input Sheet'!I44</f>
        <v>0</v>
      </c>
      <c r="J26" s="4">
        <f>'Input Sheet'!J44</f>
        <v>0</v>
      </c>
      <c r="K26" s="4">
        <f>'Input Sheet'!K44</f>
        <v>0</v>
      </c>
      <c r="L26" s="4">
        <f>'Input Sheet'!L44</f>
        <v>0</v>
      </c>
      <c r="M26" s="4">
        <f>'Input Sheet'!M44</f>
        <v>0</v>
      </c>
      <c r="N26" s="4">
        <f>'Input Sheet'!N44</f>
        <v>0</v>
      </c>
      <c r="O26" s="4">
        <f>'Input Sheet'!O44</f>
        <v>0</v>
      </c>
      <c r="P26" s="4">
        <f>'Input Sheet'!P44</f>
        <v>0</v>
      </c>
      <c r="Q26" s="4">
        <f>'Input Sheet'!Q44</f>
        <v>0</v>
      </c>
      <c r="R26" s="4">
        <f>'Input Sheet'!R44</f>
        <v>0</v>
      </c>
      <c r="S26" s="4">
        <f>'Input Sheet'!S44</f>
        <v>0</v>
      </c>
      <c r="U26" s="43">
        <f t="shared" si="24"/>
        <v>0</v>
      </c>
      <c r="V26" s="3">
        <f t="shared" si="25"/>
        <v>0</v>
      </c>
      <c r="W26" s="3">
        <f t="shared" si="26"/>
        <v>0</v>
      </c>
      <c r="X26" s="3">
        <f t="shared" si="27"/>
        <v>0</v>
      </c>
      <c r="Y26" s="3">
        <f t="shared" si="28"/>
        <v>0</v>
      </c>
      <c r="Z26" s="3">
        <f t="shared" si="29"/>
        <v>0</v>
      </c>
      <c r="AA26" s="3">
        <f t="shared" si="30"/>
        <v>0</v>
      </c>
      <c r="AB26" s="3">
        <f t="shared" si="31"/>
        <v>0</v>
      </c>
      <c r="AC26" s="55">
        <f t="shared" si="32"/>
        <v>0</v>
      </c>
      <c r="AD26" s="3"/>
      <c r="AE26" s="3">
        <f t="shared" si="33"/>
        <v>0</v>
      </c>
      <c r="AF26" s="3">
        <f t="shared" si="34"/>
        <v>0</v>
      </c>
      <c r="AG26" s="3">
        <f t="shared" si="0"/>
        <v>0</v>
      </c>
      <c r="AH26" s="3"/>
      <c r="AI26" s="3">
        <f t="shared" si="35"/>
        <v>-455</v>
      </c>
      <c r="AJ26" s="3">
        <f t="shared" si="36"/>
        <v>0</v>
      </c>
      <c r="AK26" s="3">
        <f t="shared" si="37"/>
        <v>0</v>
      </c>
      <c r="AL26" s="3">
        <f t="shared" si="38"/>
        <v>0</v>
      </c>
      <c r="AM26" s="114" t="str">
        <f>IF($AG26=0,"N/A",IF(AI26&gt;AI$41,$A26,IF(AK26&gt;AK$36,$A26,IF(AND(AK26=AK$36,COUNTIF(AK$18:AK26,AK$36)&lt;=AL$34),$A26,"N/A"))))</f>
        <v>N/A</v>
      </c>
      <c r="AN26" s="3"/>
      <c r="AO26" s="3"/>
      <c r="AP26" s="3"/>
      <c r="AQ26" s="3"/>
      <c r="AR26" s="3">
        <f t="shared" si="39"/>
        <v>-578</v>
      </c>
      <c r="AS26" s="3">
        <f t="shared" si="40"/>
        <v>0</v>
      </c>
      <c r="AT26" s="3">
        <f t="shared" si="41"/>
        <v>0</v>
      </c>
      <c r="AU26" s="3">
        <f t="shared" si="42"/>
        <v>0</v>
      </c>
      <c r="AV26" s="114" t="str">
        <f>IF($AG26=0,"N/A",IF(AR26&gt;AR$41,$A26,IF(AT26&gt;AT$36,$A26,IF(AND(AT26=AT$36,COUNTIF(AT$18:AT26,AT$36)&lt;=AU$34),$A26,"N/A"))))</f>
        <v>N/A</v>
      </c>
      <c r="AW26" s="3"/>
      <c r="AX26" s="3"/>
      <c r="AY26" s="3"/>
      <c r="AZ26" s="3"/>
      <c r="BA26" s="61">
        <f t="shared" si="45"/>
        <v>-364</v>
      </c>
      <c r="BB26" s="61">
        <f t="shared" si="46"/>
        <v>0</v>
      </c>
      <c r="BC26" s="61">
        <f t="shared" si="47"/>
        <v>0</v>
      </c>
      <c r="BD26" s="61">
        <f t="shared" si="48"/>
        <v>0</v>
      </c>
      <c r="BE26" s="113" t="str">
        <f>IF($AG26=0,"N/A",IF(BA26&gt;BA$41,$A26,IF(BC26&gt;BC$36,$A26,IF(AND(BC26=BC$36,COUNTIF(BC$18:BC26,BC$36)&lt;=BD$34),$A26,"N/A"))))</f>
        <v>N/A</v>
      </c>
      <c r="BJ26" s="61">
        <f t="shared" si="49"/>
        <v>-462</v>
      </c>
      <c r="BK26" s="61">
        <f t="shared" si="50"/>
        <v>0</v>
      </c>
      <c r="BL26" s="61">
        <f t="shared" si="51"/>
        <v>0</v>
      </c>
      <c r="BM26" s="61">
        <f t="shared" si="52"/>
        <v>0</v>
      </c>
      <c r="BN26" s="113" t="str">
        <f>IF($AG26=0,"N/A",IF(BJ26&gt;BJ$41,$A26,IF(BL26&gt;BL$36,$A26,IF(AND(BL26=BL$36,COUNTIF(BL$18:BL26,BL$36)&lt;=BM$34),$A26,"N/A"))))</f>
        <v>N/A</v>
      </c>
      <c r="BS26" s="61">
        <f t="shared" si="55"/>
        <v>0</v>
      </c>
      <c r="BT26" s="61" t="str">
        <f>IF($BT$6="Yes",IF(AND('Pg 1'!$N$10&gt;1,'Pg 1'!$N$12&gt;1),$DJ26,IF(AND('Pg 1'!$N$10&gt;1,'Pg 1'!$N$12=1),$DL26,$DN26)),IF(AND('Pg 1'!$N$10&gt;1,'Pg 1'!$N$12&gt;1),$DB26,IF(AND('Pg 1'!$N$10&gt;1,'Pg 1'!$N$12=1),$DD26,$DF26)))</f>
        <v>N/A</v>
      </c>
      <c r="BU26" s="225" t="str">
        <f t="shared" si="56"/>
        <v>No</v>
      </c>
      <c r="BV26" s="61">
        <f t="shared" si="57"/>
        <v>-9999</v>
      </c>
      <c r="BW26" s="61">
        <f t="shared" si="58"/>
        <v>0</v>
      </c>
      <c r="BX26" s="61">
        <f t="shared" si="59"/>
        <v>0</v>
      </c>
      <c r="BY26" s="61">
        <f t="shared" si="60"/>
        <v>0</v>
      </c>
      <c r="BZ26" s="113" t="str">
        <f>IF($AG26=0,"N/A",IF(BV26&gt;BV$33,$A26,IF(BX26&gt;BX$36,$A26,IF(AND(BX26=BX$36,COUNTIF(BX$18:BX26,BX$36)&lt;=BY$34),$A26,"N/A"))))</f>
        <v>N/A</v>
      </c>
      <c r="CG26" s="61">
        <f t="shared" si="64"/>
        <v>0</v>
      </c>
      <c r="CH26" s="61">
        <f t="shared" si="6"/>
        <v>-750</v>
      </c>
      <c r="CI26" s="113" t="str">
        <f t="shared" si="7"/>
        <v>N/A</v>
      </c>
      <c r="CK26" s="61">
        <f t="shared" si="65"/>
        <v>0</v>
      </c>
      <c r="CL26" s="61" t="str">
        <f>IF($BT$6="Yes",IF(AND('Pg 1'!$N$10&gt;1,'Pg 1'!$N$12&gt;1),$DZ26,IF(AND('Pg 1'!$N$10&gt;1,'Pg 1'!$N$12=1),$EB26,ED26)),IF(AND('Pg 1'!$N$10&gt;1,'Pg 1'!$N$12&gt;1),$DR26,IF(AND('Pg 1'!$N$10&gt;1,'Pg 1'!$N$12=1),$DT26,$DV26)))</f>
        <v>N/A</v>
      </c>
      <c r="CM26" s="225" t="str">
        <f t="shared" si="66"/>
        <v>No</v>
      </c>
      <c r="CN26" s="61">
        <f t="shared" si="67"/>
        <v>-9999</v>
      </c>
      <c r="CO26" s="61">
        <f t="shared" si="68"/>
        <v>0</v>
      </c>
      <c r="CP26" s="61">
        <f t="shared" si="69"/>
        <v>0</v>
      </c>
      <c r="CQ26" s="61">
        <f t="shared" si="70"/>
        <v>0</v>
      </c>
      <c r="CR26" s="113" t="str">
        <f>IF($AG26=0,"N/A",IF(CN26&gt;CN$33,$A26,IF(CP26&gt;CP$36,$A26,IF(AND(CP26=CP$36,COUNTIF(CP$18:CP26,CP$36)&lt;=CQ$34),$A26,"N/A"))))</f>
        <v>N/A</v>
      </c>
      <c r="CZ26" s="80">
        <f t="shared" si="74"/>
        <v>0</v>
      </c>
      <c r="DA26" s="80"/>
      <c r="DB26" s="80" t="str">
        <f t="shared" si="75"/>
        <v>N/A</v>
      </c>
      <c r="DC26" s="80"/>
      <c r="DD26" s="80" t="str">
        <f t="shared" si="76"/>
        <v>N/A</v>
      </c>
      <c r="DE26" s="80"/>
      <c r="DF26" s="80" t="str">
        <f t="shared" si="77"/>
        <v>N/A</v>
      </c>
      <c r="DG26" s="80"/>
      <c r="DH26" s="80">
        <f t="shared" si="78"/>
        <v>0</v>
      </c>
      <c r="DI26" s="80"/>
      <c r="DJ26" s="80" t="str">
        <f t="shared" si="79"/>
        <v>N/A</v>
      </c>
      <c r="DK26" s="80"/>
      <c r="DL26" s="80" t="str">
        <f t="shared" si="80"/>
        <v>N/A</v>
      </c>
      <c r="DM26" s="80"/>
      <c r="DN26" s="80" t="str">
        <f t="shared" si="81"/>
        <v>N/A</v>
      </c>
      <c r="DO26" s="80"/>
      <c r="DP26" s="80">
        <f t="shared" si="82"/>
        <v>0</v>
      </c>
      <c r="DQ26" s="80"/>
      <c r="DR26" s="80" t="str">
        <f t="shared" si="83"/>
        <v>N/A</v>
      </c>
      <c r="DS26" s="80"/>
      <c r="DT26" s="80" t="str">
        <f t="shared" si="84"/>
        <v>N/A</v>
      </c>
      <c r="DU26" s="80"/>
      <c r="DV26" s="80" t="str">
        <f t="shared" si="85"/>
        <v>N/A</v>
      </c>
      <c r="DW26" s="80"/>
      <c r="DX26" s="80">
        <f t="shared" si="86"/>
        <v>0</v>
      </c>
      <c r="DY26" s="80"/>
      <c r="DZ26" s="80" t="str">
        <f t="shared" si="87"/>
        <v>N/A</v>
      </c>
      <c r="EA26" s="80"/>
      <c r="EB26" s="80" t="str">
        <f t="shared" si="88"/>
        <v>N/A</v>
      </c>
      <c r="EC26" s="80"/>
      <c r="ED26" s="80" t="str">
        <f t="shared" si="89"/>
        <v>N/A</v>
      </c>
      <c r="EF26" s="61"/>
      <c r="EG26" s="61">
        <f t="shared" si="90"/>
        <v>0</v>
      </c>
      <c r="EH26" s="61">
        <f t="shared" si="91"/>
        <v>0</v>
      </c>
      <c r="EI26" s="80" t="str">
        <f t="shared" si="9"/>
        <v>N/A</v>
      </c>
      <c r="EJ26" s="227" t="str">
        <f t="shared" si="92"/>
        <v>No</v>
      </c>
      <c r="EK26" s="121" t="str">
        <f t="shared" si="10"/>
        <v>No</v>
      </c>
      <c r="EL26" s="80" t="str">
        <f t="shared" si="11"/>
        <v>N/A</v>
      </c>
      <c r="EM26" s="227" t="str">
        <f t="shared" si="93"/>
        <v>No</v>
      </c>
      <c r="EN26" s="121" t="str">
        <f t="shared" si="12"/>
        <v>No</v>
      </c>
      <c r="EO26" s="80" t="str">
        <f t="shared" si="94"/>
        <v>N/A</v>
      </c>
      <c r="EP26" s="227" t="str">
        <f t="shared" si="95"/>
        <v>No</v>
      </c>
      <c r="EQ26" s="121" t="str">
        <f t="shared" si="13"/>
        <v>No</v>
      </c>
      <c r="ER26" s="80" t="str">
        <f t="shared" si="14"/>
        <v>N/A</v>
      </c>
      <c r="ES26" s="227" t="str">
        <f t="shared" si="96"/>
        <v>No</v>
      </c>
      <c r="ET26" s="121" t="str">
        <f t="shared" si="15"/>
        <v>No</v>
      </c>
      <c r="EU26" s="199">
        <f t="shared" si="97"/>
        <v>-9999</v>
      </c>
      <c r="EV26" s="199">
        <f t="shared" si="98"/>
        <v>-9999</v>
      </c>
      <c r="EW26" s="200">
        <f t="shared" si="99"/>
        <v>0</v>
      </c>
      <c r="EX26" s="200">
        <f t="shared" si="100"/>
        <v>0</v>
      </c>
      <c r="EY26" s="200">
        <f t="shared" si="101"/>
        <v>0</v>
      </c>
      <c r="EZ26" s="61">
        <f t="shared" si="102"/>
        <v>0</v>
      </c>
      <c r="FA26" s="113" t="str">
        <f>IF(EG26=0,"N/A",IF(EU26&gt;EU$33,A26,IF(EY26&gt;EY$33,A26,IF(AND(EY26=EY$33,COUNTIF(EY$18:EY26,EY$33)&lt;=EZ$35),A26,"N/A"))))</f>
        <v>N/A</v>
      </c>
      <c r="FE26" s="80"/>
      <c r="FF26" s="80"/>
      <c r="FG26" s="80"/>
      <c r="FK26" s="158">
        <f t="shared" si="105"/>
        <v>0</v>
      </c>
      <c r="FL26" s="158" t="str">
        <f>IF('Wrnt 9 Input'!$D$9="Northbound",Worksheet!U26,IF('Wrnt 9 Input'!$D$9="Southbound",Worksheet!V26,IF('Wrnt 9 Input'!$D$9="Eastbound",Worksheet!Y26,IF('Wrnt 9 Input'!$D$9="Westbound",Worksheet!Z26,"N/A"))))</f>
        <v>N/A</v>
      </c>
      <c r="FM26" s="200">
        <f t="shared" si="106"/>
        <v>0</v>
      </c>
      <c r="FN26" s="184" t="str">
        <f>IF('Wrnt 9 Input'!$B$13&lt;40,FL48,IF('Wrnt 9 Input'!$B$13&lt;60,FN48,IF('Wrnt 9 Input'!$B$13&lt;80,FP48,IF('Wrnt 9 Input'!$B$13&lt;100,FR48,IF('Wrnt 9 Input'!$B$13&lt;120,FT48,IF('Wrnt 9 Input'!$B$13&lt;=140,FV48,"N/A"))))))</f>
        <v>N/A</v>
      </c>
      <c r="FO26" s="227" t="str">
        <f t="shared" si="107"/>
        <v>No</v>
      </c>
      <c r="FP26" s="196">
        <f t="shared" si="20"/>
        <v>-9999</v>
      </c>
      <c r="FQ26" s="196">
        <f t="shared" si="21"/>
        <v>0</v>
      </c>
      <c r="FR26" s="199">
        <f t="shared" si="108"/>
        <v>0</v>
      </c>
      <c r="FS26" s="196">
        <f t="shared" si="22"/>
        <v>0</v>
      </c>
      <c r="FT26" s="113" t="str">
        <f>IF($AG26=0,"N/A",IF(FP26&gt;FP$33,$A26,IF(FR26&gt;FR$36,$A26,IF(AND(FR26=FR$36,COUNTIF(FR$18:FR26,FR$36)&lt;=FS$34),$A26,"N/A"))))</f>
        <v>N/A</v>
      </c>
      <c r="FU26" s="196"/>
      <c r="FV26" s="184"/>
      <c r="FW26" s="196"/>
      <c r="FX26" s="227"/>
    </row>
    <row r="27" spans="1:186">
      <c r="A27" s="113">
        <v>0.625</v>
      </c>
      <c r="B27" s="61" t="s">
        <v>80</v>
      </c>
      <c r="C27" s="4" t="s">
        <v>40</v>
      </c>
      <c r="D27" s="4">
        <f>'Input Sheet'!D45</f>
        <v>0</v>
      </c>
      <c r="E27" s="4">
        <f>'Input Sheet'!E45</f>
        <v>0</v>
      </c>
      <c r="F27" s="4">
        <f>'Input Sheet'!F45</f>
        <v>0</v>
      </c>
      <c r="G27" s="4">
        <f>'Input Sheet'!G45</f>
        <v>0</v>
      </c>
      <c r="H27" s="4">
        <f>'Input Sheet'!H45</f>
        <v>0</v>
      </c>
      <c r="I27" s="4">
        <f>'Input Sheet'!I45</f>
        <v>0</v>
      </c>
      <c r="J27" s="4">
        <f>'Input Sheet'!J45</f>
        <v>0</v>
      </c>
      <c r="K27" s="4">
        <f>'Input Sheet'!K45</f>
        <v>0</v>
      </c>
      <c r="L27" s="4">
        <f>'Input Sheet'!L45</f>
        <v>0</v>
      </c>
      <c r="M27" s="4">
        <f>'Input Sheet'!M45</f>
        <v>0</v>
      </c>
      <c r="N27" s="4">
        <f>'Input Sheet'!N45</f>
        <v>0</v>
      </c>
      <c r="O27" s="4">
        <f>'Input Sheet'!O45</f>
        <v>0</v>
      </c>
      <c r="P27" s="4">
        <f>'Input Sheet'!P45</f>
        <v>0</v>
      </c>
      <c r="Q27" s="4">
        <f>'Input Sheet'!Q45</f>
        <v>0</v>
      </c>
      <c r="R27" s="4">
        <f>'Input Sheet'!R45</f>
        <v>0</v>
      </c>
      <c r="S27" s="4">
        <f>'Input Sheet'!S45</f>
        <v>0</v>
      </c>
      <c r="U27" s="43">
        <f t="shared" si="24"/>
        <v>0</v>
      </c>
      <c r="V27" s="3">
        <f t="shared" si="25"/>
        <v>0</v>
      </c>
      <c r="W27" s="3">
        <f t="shared" si="26"/>
        <v>0</v>
      </c>
      <c r="X27" s="3">
        <f t="shared" si="27"/>
        <v>0</v>
      </c>
      <c r="Y27" s="3">
        <f t="shared" si="28"/>
        <v>0</v>
      </c>
      <c r="Z27" s="3">
        <f t="shared" si="29"/>
        <v>0</v>
      </c>
      <c r="AA27" s="3">
        <f t="shared" si="30"/>
        <v>0</v>
      </c>
      <c r="AB27" s="3">
        <f t="shared" si="31"/>
        <v>0</v>
      </c>
      <c r="AC27" s="55">
        <f t="shared" si="32"/>
        <v>0</v>
      </c>
      <c r="AD27" s="3"/>
      <c r="AE27" s="3">
        <f t="shared" si="33"/>
        <v>0</v>
      </c>
      <c r="AF27" s="3">
        <f t="shared" si="34"/>
        <v>0</v>
      </c>
      <c r="AG27" s="3">
        <f t="shared" si="0"/>
        <v>0</v>
      </c>
      <c r="AH27" s="3"/>
      <c r="AI27" s="3">
        <f t="shared" si="35"/>
        <v>-455</v>
      </c>
      <c r="AJ27" s="3">
        <f t="shared" si="36"/>
        <v>0</v>
      </c>
      <c r="AK27" s="3">
        <f t="shared" si="37"/>
        <v>0</v>
      </c>
      <c r="AL27" s="3">
        <f t="shared" si="38"/>
        <v>0</v>
      </c>
      <c r="AM27" s="114" t="str">
        <f>IF($AG27=0,"N/A",IF(AI27&gt;AI$41,$A27,IF(AK27&gt;AK$36,$A27,IF(AND(AK27=AK$36,COUNTIF(AK$18:AK27,AK$36)&lt;=AL$34),$A27,"N/A"))))</f>
        <v>N/A</v>
      </c>
      <c r="AN27" s="3"/>
      <c r="AO27" s="3"/>
      <c r="AP27" s="3"/>
      <c r="AQ27" s="3"/>
      <c r="AR27" s="3">
        <f t="shared" si="39"/>
        <v>-578</v>
      </c>
      <c r="AS27" s="3">
        <f t="shared" si="40"/>
        <v>0</v>
      </c>
      <c r="AT27" s="3">
        <f t="shared" si="41"/>
        <v>0</v>
      </c>
      <c r="AU27" s="3">
        <f t="shared" si="42"/>
        <v>0</v>
      </c>
      <c r="AV27" s="114" t="str">
        <f>IF($AG27=0,"N/A",IF(AR27&gt;AR$41,$A27,IF(AT27&gt;AT$36,$A27,IF(AND(AT27=AT$36,COUNTIF(AT$18:AT27,AT$36)&lt;=AU$34),$A27,"N/A"))))</f>
        <v>N/A</v>
      </c>
      <c r="AW27" s="3"/>
      <c r="AX27" s="3"/>
      <c r="AY27" s="3"/>
      <c r="AZ27" s="3"/>
      <c r="BA27" s="61">
        <f t="shared" si="45"/>
        <v>-364</v>
      </c>
      <c r="BB27" s="61">
        <f t="shared" si="46"/>
        <v>0</v>
      </c>
      <c r="BC27" s="61">
        <f t="shared" si="47"/>
        <v>0</v>
      </c>
      <c r="BD27" s="61">
        <f t="shared" si="48"/>
        <v>0</v>
      </c>
      <c r="BE27" s="113" t="str">
        <f>IF($AG27=0,"N/A",IF(BA27&gt;BA$41,$A27,IF(BC27&gt;BC$36,$A27,IF(AND(BC27=BC$36,COUNTIF(BC$18:BC27,BC$36)&lt;=BD$34),$A27,"N/A"))))</f>
        <v>N/A</v>
      </c>
      <c r="BJ27" s="61">
        <f t="shared" si="49"/>
        <v>-462</v>
      </c>
      <c r="BK27" s="61">
        <f t="shared" si="50"/>
        <v>0</v>
      </c>
      <c r="BL27" s="61">
        <f t="shared" si="51"/>
        <v>0</v>
      </c>
      <c r="BM27" s="61">
        <f t="shared" si="52"/>
        <v>0</v>
      </c>
      <c r="BN27" s="113" t="str">
        <f>IF($AG27=0,"N/A",IF(BJ27&gt;BJ$41,$A27,IF(BL27&gt;BL$36,$A27,IF(AND(BL27=BL$36,COUNTIF(BL$18:BL27,BL$36)&lt;=BM$34),$A27,"N/A"))))</f>
        <v>N/A</v>
      </c>
      <c r="BS27" s="61">
        <f t="shared" si="55"/>
        <v>0</v>
      </c>
      <c r="BT27" s="61" t="str">
        <f>IF($BT$6="Yes",IF(AND('Pg 1'!$N$10&gt;1,'Pg 1'!$N$12&gt;1),$DJ27,IF(AND('Pg 1'!$N$10&gt;1,'Pg 1'!$N$12=1),$DL27,$DN27)),IF(AND('Pg 1'!$N$10&gt;1,'Pg 1'!$N$12&gt;1),$DB27,IF(AND('Pg 1'!$N$10&gt;1,'Pg 1'!$N$12=1),$DD27,$DF27)))</f>
        <v>N/A</v>
      </c>
      <c r="BU27" s="225" t="str">
        <f t="shared" si="56"/>
        <v>No</v>
      </c>
      <c r="BV27" s="61">
        <f t="shared" si="57"/>
        <v>-9999</v>
      </c>
      <c r="BW27" s="61">
        <f t="shared" si="58"/>
        <v>0</v>
      </c>
      <c r="BX27" s="61">
        <f t="shared" si="59"/>
        <v>0</v>
      </c>
      <c r="BY27" s="61">
        <f t="shared" si="60"/>
        <v>0</v>
      </c>
      <c r="BZ27" s="113" t="str">
        <f>IF($AG27=0,"N/A",IF(BV27&gt;BV$33,$A27,IF(BX27&gt;BX$36,$A27,IF(AND(BX27=BX$36,COUNTIF(BX$18:BX27,BX$36)&lt;=BY$34),$A27,"N/A"))))</f>
        <v>N/A</v>
      </c>
      <c r="CG27" s="61">
        <f t="shared" si="64"/>
        <v>0</v>
      </c>
      <c r="CH27" s="61">
        <f t="shared" si="6"/>
        <v>-750</v>
      </c>
      <c r="CI27" s="113" t="str">
        <f t="shared" si="7"/>
        <v>N/A</v>
      </c>
      <c r="CK27" s="61">
        <f t="shared" si="65"/>
        <v>0</v>
      </c>
      <c r="CL27" s="61" t="str">
        <f>IF($BT$6="Yes",IF(AND('Pg 1'!$N$10&gt;1,'Pg 1'!$N$12&gt;1),$DZ27,IF(AND('Pg 1'!$N$10&gt;1,'Pg 1'!$N$12=1),$EB27,ED27)),IF(AND('Pg 1'!$N$10&gt;1,'Pg 1'!$N$12&gt;1),$DR27,IF(AND('Pg 1'!$N$10&gt;1,'Pg 1'!$N$12=1),$DT27,$DV27)))</f>
        <v>N/A</v>
      </c>
      <c r="CM27" s="225" t="str">
        <f t="shared" si="66"/>
        <v>No</v>
      </c>
      <c r="CN27" s="61">
        <f t="shared" si="67"/>
        <v>-9999</v>
      </c>
      <c r="CO27" s="61">
        <f t="shared" si="68"/>
        <v>0</v>
      </c>
      <c r="CP27" s="61">
        <f t="shared" si="69"/>
        <v>0</v>
      </c>
      <c r="CQ27" s="61">
        <f t="shared" si="70"/>
        <v>0</v>
      </c>
      <c r="CR27" s="113" t="str">
        <f>IF($AG27=0,"N/A",IF(CN27&gt;CN$33,$A27,IF(CP27&gt;CP$36,$A27,IF(AND(CP27=CP$36,COUNTIF(CP$18:CP27,CP$36)&lt;=CQ$34),$A27,"N/A"))))</f>
        <v>N/A</v>
      </c>
      <c r="CZ27" s="80">
        <f t="shared" si="74"/>
        <v>0</v>
      </c>
      <c r="DA27" s="80"/>
      <c r="DB27" s="80" t="str">
        <f t="shared" si="75"/>
        <v>N/A</v>
      </c>
      <c r="DC27" s="80"/>
      <c r="DD27" s="80" t="str">
        <f t="shared" si="76"/>
        <v>N/A</v>
      </c>
      <c r="DE27" s="80"/>
      <c r="DF27" s="80" t="str">
        <f t="shared" si="77"/>
        <v>N/A</v>
      </c>
      <c r="DG27" s="80"/>
      <c r="DH27" s="80">
        <f t="shared" si="78"/>
        <v>0</v>
      </c>
      <c r="DI27" s="80"/>
      <c r="DJ27" s="80" t="str">
        <f t="shared" si="79"/>
        <v>N/A</v>
      </c>
      <c r="DK27" s="80"/>
      <c r="DL27" s="80" t="str">
        <f t="shared" si="80"/>
        <v>N/A</v>
      </c>
      <c r="DM27" s="80"/>
      <c r="DN27" s="80" t="str">
        <f t="shared" si="81"/>
        <v>N/A</v>
      </c>
      <c r="DO27" s="80"/>
      <c r="DP27" s="80">
        <f t="shared" si="82"/>
        <v>0</v>
      </c>
      <c r="DQ27" s="80"/>
      <c r="DR27" s="80" t="str">
        <f t="shared" si="83"/>
        <v>N/A</v>
      </c>
      <c r="DS27" s="80"/>
      <c r="DT27" s="80" t="str">
        <f t="shared" si="84"/>
        <v>N/A</v>
      </c>
      <c r="DU27" s="80"/>
      <c r="DV27" s="80" t="str">
        <f t="shared" si="85"/>
        <v>N/A</v>
      </c>
      <c r="DW27" s="80"/>
      <c r="DX27" s="80">
        <f t="shared" si="86"/>
        <v>0</v>
      </c>
      <c r="DY27" s="80"/>
      <c r="DZ27" s="80" t="str">
        <f t="shared" si="87"/>
        <v>N/A</v>
      </c>
      <c r="EA27" s="80"/>
      <c r="EB27" s="80" t="str">
        <f t="shared" si="88"/>
        <v>N/A</v>
      </c>
      <c r="EC27" s="80"/>
      <c r="ED27" s="80" t="str">
        <f t="shared" si="89"/>
        <v>N/A</v>
      </c>
      <c r="EF27" s="61"/>
      <c r="EG27" s="61">
        <f t="shared" si="90"/>
        <v>0</v>
      </c>
      <c r="EH27" s="61">
        <f t="shared" si="91"/>
        <v>0</v>
      </c>
      <c r="EI27" s="80" t="str">
        <f t="shared" si="9"/>
        <v>N/A</v>
      </c>
      <c r="EJ27" s="227" t="str">
        <f t="shared" si="92"/>
        <v>No</v>
      </c>
      <c r="EK27" s="121" t="str">
        <f t="shared" si="10"/>
        <v>No</v>
      </c>
      <c r="EL27" s="80" t="str">
        <f t="shared" si="11"/>
        <v>N/A</v>
      </c>
      <c r="EM27" s="227" t="str">
        <f t="shared" si="93"/>
        <v>No</v>
      </c>
      <c r="EN27" s="121" t="str">
        <f t="shared" si="12"/>
        <v>No</v>
      </c>
      <c r="EO27" s="80" t="str">
        <f t="shared" si="94"/>
        <v>N/A</v>
      </c>
      <c r="EP27" s="227" t="str">
        <f t="shared" si="95"/>
        <v>No</v>
      </c>
      <c r="EQ27" s="121" t="str">
        <f t="shared" si="13"/>
        <v>No</v>
      </c>
      <c r="ER27" s="80" t="str">
        <f t="shared" si="14"/>
        <v>N/A</v>
      </c>
      <c r="ES27" s="227" t="str">
        <f t="shared" si="96"/>
        <v>No</v>
      </c>
      <c r="ET27" s="121" t="str">
        <f t="shared" si="15"/>
        <v>No</v>
      </c>
      <c r="EU27" s="199">
        <f t="shared" si="97"/>
        <v>-9999</v>
      </c>
      <c r="EV27" s="199">
        <f t="shared" si="98"/>
        <v>-9999</v>
      </c>
      <c r="EW27" s="200">
        <f t="shared" si="99"/>
        <v>0</v>
      </c>
      <c r="EX27" s="200">
        <f t="shared" si="100"/>
        <v>0</v>
      </c>
      <c r="EY27" s="200">
        <f t="shared" si="101"/>
        <v>0</v>
      </c>
      <c r="EZ27" s="61">
        <f t="shared" si="102"/>
        <v>0</v>
      </c>
      <c r="FA27" s="113" t="str">
        <f>IF(EG27=0,"N/A",IF(EU27&gt;EU$33,A27,IF(EY27&gt;EY$33,A27,IF(AND(EY27=EY$33,COUNTIF(EY$18:EY27,EY$33)&lt;=EZ$35),A27,"N/A"))))</f>
        <v>N/A</v>
      </c>
      <c r="FE27" s="80"/>
      <c r="FF27" s="80"/>
      <c r="FG27" s="80"/>
      <c r="FK27" s="158">
        <f t="shared" si="105"/>
        <v>0</v>
      </c>
      <c r="FL27" s="158" t="str">
        <f>IF('Wrnt 9 Input'!$D$9="Northbound",Worksheet!U27,IF('Wrnt 9 Input'!$D$9="Southbound",Worksheet!V27,IF('Wrnt 9 Input'!$D$9="Eastbound",Worksheet!Y27,IF('Wrnt 9 Input'!$D$9="Westbound",Worksheet!Z27,"N/A"))))</f>
        <v>N/A</v>
      </c>
      <c r="FM27" s="200">
        <f t="shared" si="106"/>
        <v>0</v>
      </c>
      <c r="FN27" s="184" t="str">
        <f>IF('Wrnt 9 Input'!$B$13&lt;40,FL49,IF('Wrnt 9 Input'!$B$13&lt;60,FN49,IF('Wrnt 9 Input'!$B$13&lt;80,FP49,IF('Wrnt 9 Input'!$B$13&lt;100,FR49,IF('Wrnt 9 Input'!$B$13&lt;120,FT49,IF('Wrnt 9 Input'!$B$13&lt;=140,FV49,"N/A"))))))</f>
        <v>N/A</v>
      </c>
      <c r="FO27" s="227" t="str">
        <f t="shared" si="107"/>
        <v>No</v>
      </c>
      <c r="FP27" s="196">
        <f t="shared" si="20"/>
        <v>-9999</v>
      </c>
      <c r="FQ27" s="196">
        <f t="shared" si="21"/>
        <v>0</v>
      </c>
      <c r="FR27" s="199">
        <f t="shared" si="108"/>
        <v>0</v>
      </c>
      <c r="FS27" s="196">
        <f t="shared" si="22"/>
        <v>0</v>
      </c>
      <c r="FT27" s="113" t="str">
        <f>IF($AG27=0,"N/A",IF(FP27&gt;FP$33,$A27,IF(FR27&gt;FR$36,$A27,IF(AND(FR27=FR$36,COUNTIF(FR$18:FR27,FR$36)&lt;=FS$34),$A27,"N/A"))))</f>
        <v>N/A</v>
      </c>
      <c r="FU27" s="196"/>
      <c r="FV27" s="184"/>
      <c r="FW27" s="196"/>
      <c r="FX27" s="227"/>
    </row>
    <row r="28" spans="1:186" ht="12.75" customHeight="1">
      <c r="A28" s="113">
        <v>0.66666666666666663</v>
      </c>
      <c r="B28" s="61" t="s">
        <v>81</v>
      </c>
      <c r="C28" s="4" t="s">
        <v>41</v>
      </c>
      <c r="D28" s="4">
        <f>'Input Sheet'!D46</f>
        <v>0</v>
      </c>
      <c r="E28" s="4">
        <f>'Input Sheet'!E46</f>
        <v>0</v>
      </c>
      <c r="F28" s="4">
        <f>'Input Sheet'!F46</f>
        <v>0</v>
      </c>
      <c r="G28" s="4">
        <f>'Input Sheet'!G46</f>
        <v>0</v>
      </c>
      <c r="H28" s="4">
        <f>'Input Sheet'!H46</f>
        <v>0</v>
      </c>
      <c r="I28" s="4">
        <f>'Input Sheet'!I46</f>
        <v>0</v>
      </c>
      <c r="J28" s="4">
        <f>'Input Sheet'!J46</f>
        <v>0</v>
      </c>
      <c r="K28" s="4">
        <f>'Input Sheet'!K46</f>
        <v>0</v>
      </c>
      <c r="L28" s="4">
        <f>'Input Sheet'!L46</f>
        <v>0</v>
      </c>
      <c r="M28" s="4">
        <f>'Input Sheet'!M46</f>
        <v>0</v>
      </c>
      <c r="N28" s="4">
        <f>'Input Sheet'!N46</f>
        <v>0</v>
      </c>
      <c r="O28" s="4">
        <f>'Input Sheet'!O46</f>
        <v>0</v>
      </c>
      <c r="P28" s="4">
        <f>'Input Sheet'!P46</f>
        <v>0</v>
      </c>
      <c r="Q28" s="4">
        <f>'Input Sheet'!Q46</f>
        <v>0</v>
      </c>
      <c r="R28" s="4">
        <f>'Input Sheet'!R46</f>
        <v>0</v>
      </c>
      <c r="S28" s="4">
        <f>'Input Sheet'!S46</f>
        <v>0</v>
      </c>
      <c r="U28" s="43">
        <f t="shared" si="24"/>
        <v>0</v>
      </c>
      <c r="V28" s="3">
        <f t="shared" si="25"/>
        <v>0</v>
      </c>
      <c r="W28" s="3">
        <f t="shared" si="26"/>
        <v>0</v>
      </c>
      <c r="X28" s="3">
        <f t="shared" si="27"/>
        <v>0</v>
      </c>
      <c r="Y28" s="3">
        <f t="shared" si="28"/>
        <v>0</v>
      </c>
      <c r="Z28" s="3">
        <f t="shared" si="29"/>
        <v>0</v>
      </c>
      <c r="AA28" s="3">
        <f t="shared" si="30"/>
        <v>0</v>
      </c>
      <c r="AB28" s="3">
        <f t="shared" si="31"/>
        <v>0</v>
      </c>
      <c r="AC28" s="55">
        <f t="shared" si="32"/>
        <v>0</v>
      </c>
      <c r="AD28" s="3"/>
      <c r="AE28" s="3">
        <f t="shared" si="33"/>
        <v>0</v>
      </c>
      <c r="AF28" s="3">
        <f t="shared" si="34"/>
        <v>0</v>
      </c>
      <c r="AG28" s="3">
        <f t="shared" si="0"/>
        <v>0</v>
      </c>
      <c r="AH28" s="3"/>
      <c r="AI28" s="3">
        <f t="shared" si="35"/>
        <v>-455</v>
      </c>
      <c r="AJ28" s="3">
        <f t="shared" si="36"/>
        <v>0</v>
      </c>
      <c r="AK28" s="3">
        <f t="shared" si="37"/>
        <v>0</v>
      </c>
      <c r="AL28" s="3">
        <f t="shared" si="38"/>
        <v>0</v>
      </c>
      <c r="AM28" s="114" t="str">
        <f>IF($AG28=0,"N/A",IF(AI28&gt;AI$41,$A28,IF(AK28&gt;AK$36,$A28,IF(AND(AK28=AK$36,COUNTIF(AK$18:AK28,AK$36)&lt;=AL$34),$A28,"N/A"))))</f>
        <v>N/A</v>
      </c>
      <c r="AN28" s="3"/>
      <c r="AO28" s="3"/>
      <c r="AP28" s="3"/>
      <c r="AQ28" s="3"/>
      <c r="AR28" s="3">
        <f t="shared" si="39"/>
        <v>-578</v>
      </c>
      <c r="AS28" s="3">
        <f t="shared" si="40"/>
        <v>0</v>
      </c>
      <c r="AT28" s="3">
        <f t="shared" si="41"/>
        <v>0</v>
      </c>
      <c r="AU28" s="3">
        <f t="shared" si="42"/>
        <v>0</v>
      </c>
      <c r="AV28" s="114" t="str">
        <f>IF($AG28=0,"N/A",IF(AR28&gt;AR$41,$A28,IF(AT28&gt;AT$36,$A28,IF(AND(AT28=AT$36,COUNTIF(AT$18:AT28,AT$36)&lt;=AU$34),$A28,"N/A"))))</f>
        <v>N/A</v>
      </c>
      <c r="AW28" s="3"/>
      <c r="AX28" s="3"/>
      <c r="AY28" s="3"/>
      <c r="AZ28" s="3"/>
      <c r="BA28" s="61">
        <f t="shared" si="45"/>
        <v>-364</v>
      </c>
      <c r="BB28" s="61">
        <f t="shared" si="46"/>
        <v>0</v>
      </c>
      <c r="BC28" s="61">
        <f t="shared" si="47"/>
        <v>0</v>
      </c>
      <c r="BD28" s="61">
        <f t="shared" si="48"/>
        <v>0</v>
      </c>
      <c r="BE28" s="113" t="str">
        <f>IF($AG28=0,"N/A",IF(BA28&gt;BA$41,$A28,IF(BC28&gt;BC$36,$A28,IF(AND(BC28=BC$36,COUNTIF(BC$18:BC28,BC$36)&lt;=BD$34),$A28,"N/A"))))</f>
        <v>N/A</v>
      </c>
      <c r="BJ28" s="61">
        <f t="shared" si="49"/>
        <v>-462</v>
      </c>
      <c r="BK28" s="61">
        <f t="shared" si="50"/>
        <v>0</v>
      </c>
      <c r="BL28" s="61">
        <f t="shared" si="51"/>
        <v>0</v>
      </c>
      <c r="BM28" s="61">
        <f t="shared" si="52"/>
        <v>0</v>
      </c>
      <c r="BN28" s="113" t="str">
        <f>IF($AG28=0,"N/A",IF(BJ28&gt;BJ$41,$A28,IF(BL28&gt;BL$36,$A28,IF(AND(BL28=BL$36,COUNTIF(BL$18:BL28,BL$36)&lt;=BM$34),$A28,"N/A"))))</f>
        <v>N/A</v>
      </c>
      <c r="BS28" s="61">
        <f t="shared" si="55"/>
        <v>0</v>
      </c>
      <c r="BT28" s="61" t="str">
        <f>IF($BT$6="Yes",IF(AND('Pg 1'!$N$10&gt;1,'Pg 1'!$N$12&gt;1),$DJ28,IF(AND('Pg 1'!$N$10&gt;1,'Pg 1'!$N$12=1),$DL28,$DN28)),IF(AND('Pg 1'!$N$10&gt;1,'Pg 1'!$N$12&gt;1),$DB28,IF(AND('Pg 1'!$N$10&gt;1,'Pg 1'!$N$12=1),$DD28,$DF28)))</f>
        <v>N/A</v>
      </c>
      <c r="BU28" s="225" t="str">
        <f t="shared" si="56"/>
        <v>No</v>
      </c>
      <c r="BV28" s="61">
        <f t="shared" si="57"/>
        <v>-9999</v>
      </c>
      <c r="BW28" s="61">
        <f t="shared" si="58"/>
        <v>0</v>
      </c>
      <c r="BX28" s="61">
        <f t="shared" si="59"/>
        <v>0</v>
      </c>
      <c r="BY28" s="61">
        <f t="shared" si="60"/>
        <v>0</v>
      </c>
      <c r="BZ28" s="113" t="str">
        <f>IF($AG28=0,"N/A",IF(BV28&gt;BV$33,$A28,IF(BX28&gt;BX$36,$A28,IF(AND(BX28=BX$36,COUNTIF(BX$18:BX28,BX$36)&lt;=BY$34),$A28,"N/A"))))</f>
        <v>N/A</v>
      </c>
      <c r="CG28" s="61">
        <f t="shared" si="64"/>
        <v>0</v>
      </c>
      <c r="CH28" s="61">
        <f t="shared" si="6"/>
        <v>-750</v>
      </c>
      <c r="CI28" s="113" t="str">
        <f t="shared" si="7"/>
        <v>N/A</v>
      </c>
      <c r="CK28" s="61">
        <f t="shared" si="65"/>
        <v>0</v>
      </c>
      <c r="CL28" s="61" t="str">
        <f>IF($BT$6="Yes",IF(AND('Pg 1'!$N$10&gt;1,'Pg 1'!$N$12&gt;1),$DZ28,IF(AND('Pg 1'!$N$10&gt;1,'Pg 1'!$N$12=1),$EB28,ED28)),IF(AND('Pg 1'!$N$10&gt;1,'Pg 1'!$N$12&gt;1),$DR28,IF(AND('Pg 1'!$N$10&gt;1,'Pg 1'!$N$12=1),$DT28,$DV28)))</f>
        <v>N/A</v>
      </c>
      <c r="CM28" s="225" t="str">
        <f t="shared" si="66"/>
        <v>No</v>
      </c>
      <c r="CN28" s="61">
        <f t="shared" si="67"/>
        <v>-9999</v>
      </c>
      <c r="CO28" s="61">
        <f t="shared" si="68"/>
        <v>0</v>
      </c>
      <c r="CP28" s="61">
        <f t="shared" si="69"/>
        <v>0</v>
      </c>
      <c r="CQ28" s="61">
        <f t="shared" si="70"/>
        <v>0</v>
      </c>
      <c r="CR28" s="113" t="str">
        <f>IF($AG28=0,"N/A",IF(CN28&gt;CN$33,$A28,IF(CP28&gt;CP$36,$A28,IF(AND(CP28=CP$36,COUNTIF(CP$18:CP28,CP$36)&lt;=CQ$34),$A28,"N/A"))))</f>
        <v>N/A</v>
      </c>
      <c r="CZ28" s="80">
        <f t="shared" si="74"/>
        <v>0</v>
      </c>
      <c r="DA28" s="80"/>
      <c r="DB28" s="80" t="str">
        <f t="shared" si="75"/>
        <v>N/A</v>
      </c>
      <c r="DC28" s="80"/>
      <c r="DD28" s="80" t="str">
        <f t="shared" si="76"/>
        <v>N/A</v>
      </c>
      <c r="DE28" s="80"/>
      <c r="DF28" s="80" t="str">
        <f t="shared" si="77"/>
        <v>N/A</v>
      </c>
      <c r="DG28" s="80"/>
      <c r="DH28" s="80">
        <f t="shared" si="78"/>
        <v>0</v>
      </c>
      <c r="DI28" s="80"/>
      <c r="DJ28" s="80" t="str">
        <f t="shared" si="79"/>
        <v>N/A</v>
      </c>
      <c r="DK28" s="80"/>
      <c r="DL28" s="80" t="str">
        <f t="shared" si="80"/>
        <v>N/A</v>
      </c>
      <c r="DM28" s="80"/>
      <c r="DN28" s="80" t="str">
        <f t="shared" si="81"/>
        <v>N/A</v>
      </c>
      <c r="DO28" s="80"/>
      <c r="DP28" s="80">
        <f t="shared" si="82"/>
        <v>0</v>
      </c>
      <c r="DQ28" s="80"/>
      <c r="DR28" s="80" t="str">
        <f t="shared" si="83"/>
        <v>N/A</v>
      </c>
      <c r="DS28" s="80"/>
      <c r="DT28" s="80" t="str">
        <f t="shared" si="84"/>
        <v>N/A</v>
      </c>
      <c r="DU28" s="80"/>
      <c r="DV28" s="80" t="str">
        <f t="shared" si="85"/>
        <v>N/A</v>
      </c>
      <c r="DW28" s="80"/>
      <c r="DX28" s="80">
        <f t="shared" si="86"/>
        <v>0</v>
      </c>
      <c r="DY28" s="80"/>
      <c r="DZ28" s="80" t="str">
        <f t="shared" si="87"/>
        <v>N/A</v>
      </c>
      <c r="EA28" s="80"/>
      <c r="EB28" s="80" t="str">
        <f t="shared" si="88"/>
        <v>N/A</v>
      </c>
      <c r="EC28" s="80"/>
      <c r="ED28" s="80" t="str">
        <f t="shared" si="89"/>
        <v>N/A</v>
      </c>
      <c r="EF28" s="61"/>
      <c r="EG28" s="61">
        <f t="shared" si="90"/>
        <v>0</v>
      </c>
      <c r="EH28" s="61">
        <f t="shared" si="91"/>
        <v>0</v>
      </c>
      <c r="EI28" s="80" t="str">
        <f t="shared" si="9"/>
        <v>N/A</v>
      </c>
      <c r="EJ28" s="227" t="str">
        <f t="shared" si="92"/>
        <v>No</v>
      </c>
      <c r="EK28" s="121" t="str">
        <f t="shared" si="10"/>
        <v>No</v>
      </c>
      <c r="EL28" s="80" t="str">
        <f t="shared" si="11"/>
        <v>N/A</v>
      </c>
      <c r="EM28" s="227" t="str">
        <f t="shared" si="93"/>
        <v>No</v>
      </c>
      <c r="EN28" s="121" t="str">
        <f t="shared" si="12"/>
        <v>No</v>
      </c>
      <c r="EO28" s="80" t="str">
        <f t="shared" si="94"/>
        <v>N/A</v>
      </c>
      <c r="EP28" s="227" t="str">
        <f t="shared" si="95"/>
        <v>No</v>
      </c>
      <c r="EQ28" s="121" t="str">
        <f t="shared" si="13"/>
        <v>No</v>
      </c>
      <c r="ER28" s="80" t="str">
        <f t="shared" si="14"/>
        <v>N/A</v>
      </c>
      <c r="ES28" s="227" t="str">
        <f t="shared" si="96"/>
        <v>No</v>
      </c>
      <c r="ET28" s="121" t="str">
        <f t="shared" si="15"/>
        <v>No</v>
      </c>
      <c r="EU28" s="199">
        <f t="shared" si="97"/>
        <v>-9999</v>
      </c>
      <c r="EV28" s="199">
        <f t="shared" si="98"/>
        <v>-9999</v>
      </c>
      <c r="EW28" s="200">
        <f t="shared" si="99"/>
        <v>0</v>
      </c>
      <c r="EX28" s="200">
        <f t="shared" si="100"/>
        <v>0</v>
      </c>
      <c r="EY28" s="200">
        <f t="shared" si="101"/>
        <v>0</v>
      </c>
      <c r="EZ28" s="61">
        <f t="shared" si="102"/>
        <v>0</v>
      </c>
      <c r="FA28" s="113" t="str">
        <f>IF(EG28=0,"N/A",IF(EU28&gt;EU$33,A28,IF(EY28&gt;EY$33,A28,IF(AND(EY28=EY$33,COUNTIF(EY$18:EY28,EY$33)&lt;=EZ$35),A28,"N/A"))))</f>
        <v>N/A</v>
      </c>
      <c r="FE28" s="80"/>
      <c r="FF28" s="80"/>
      <c r="FG28" s="80"/>
      <c r="FK28" s="158">
        <f t="shared" si="105"/>
        <v>0</v>
      </c>
      <c r="FL28" s="158" t="str">
        <f>IF('Wrnt 9 Input'!$D$9="Northbound",Worksheet!U28,IF('Wrnt 9 Input'!$D$9="Southbound",Worksheet!V28,IF('Wrnt 9 Input'!$D$9="Eastbound",Worksheet!Y28,IF('Wrnt 9 Input'!$D$9="Westbound",Worksheet!Z28,"N/A"))))</f>
        <v>N/A</v>
      </c>
      <c r="FM28" s="200">
        <f t="shared" si="106"/>
        <v>0</v>
      </c>
      <c r="FN28" s="184" t="str">
        <f>IF('Wrnt 9 Input'!$B$13&lt;40,FL50,IF('Wrnt 9 Input'!$B$13&lt;60,FN50,IF('Wrnt 9 Input'!$B$13&lt;80,FP50,IF('Wrnt 9 Input'!$B$13&lt;100,FR50,IF('Wrnt 9 Input'!$B$13&lt;120,FT50,IF('Wrnt 9 Input'!$B$13&lt;=140,FV50,"N/A"))))))</f>
        <v>N/A</v>
      </c>
      <c r="FO28" s="227" t="str">
        <f t="shared" si="107"/>
        <v>No</v>
      </c>
      <c r="FP28" s="196">
        <f t="shared" si="20"/>
        <v>-9999</v>
      </c>
      <c r="FQ28" s="196">
        <f t="shared" si="21"/>
        <v>0</v>
      </c>
      <c r="FR28" s="199">
        <f t="shared" si="108"/>
        <v>0</v>
      </c>
      <c r="FS28" s="196">
        <f t="shared" si="22"/>
        <v>0</v>
      </c>
      <c r="FT28" s="113" t="str">
        <f>IF($AG28=0,"N/A",IF(FP28&gt;FP$33,$A28,IF(FR28&gt;FR$36,$A28,IF(AND(FR28=FR$36,COUNTIF(FR$18:FR28,FR$36)&lt;=FS$34),$A28,"N/A"))))</f>
        <v>N/A</v>
      </c>
      <c r="FU28" s="196"/>
      <c r="FV28" s="184"/>
      <c r="FW28" s="196"/>
      <c r="FX28" s="227"/>
    </row>
    <row r="29" spans="1:186">
      <c r="A29" s="113">
        <v>0.70833333333333326</v>
      </c>
      <c r="B29" s="61" t="s">
        <v>82</v>
      </c>
      <c r="C29" s="4" t="s">
        <v>42</v>
      </c>
      <c r="D29" s="4">
        <f>'Input Sheet'!D47</f>
        <v>0</v>
      </c>
      <c r="E29" s="4">
        <f>'Input Sheet'!E47</f>
        <v>0</v>
      </c>
      <c r="F29" s="4">
        <f>'Input Sheet'!F47</f>
        <v>0</v>
      </c>
      <c r="G29" s="4">
        <f>'Input Sheet'!G47</f>
        <v>0</v>
      </c>
      <c r="H29" s="4">
        <f>'Input Sheet'!H47</f>
        <v>0</v>
      </c>
      <c r="I29" s="4">
        <f>'Input Sheet'!I47</f>
        <v>0</v>
      </c>
      <c r="J29" s="4">
        <f>'Input Sheet'!J47</f>
        <v>0</v>
      </c>
      <c r="K29" s="4">
        <f>'Input Sheet'!K47</f>
        <v>0</v>
      </c>
      <c r="L29" s="4">
        <f>'Input Sheet'!L47</f>
        <v>0</v>
      </c>
      <c r="M29" s="4">
        <f>'Input Sheet'!M47</f>
        <v>0</v>
      </c>
      <c r="N29" s="4">
        <f>'Input Sheet'!N47</f>
        <v>0</v>
      </c>
      <c r="O29" s="4">
        <f>'Input Sheet'!O47</f>
        <v>0</v>
      </c>
      <c r="P29" s="4">
        <f>'Input Sheet'!P47</f>
        <v>0</v>
      </c>
      <c r="Q29" s="4">
        <f>'Input Sheet'!Q47</f>
        <v>0</v>
      </c>
      <c r="R29" s="4">
        <f>'Input Sheet'!R47</f>
        <v>0</v>
      </c>
      <c r="S29" s="4">
        <f>'Input Sheet'!S47</f>
        <v>0</v>
      </c>
      <c r="U29" s="43">
        <f t="shared" si="24"/>
        <v>0</v>
      </c>
      <c r="V29" s="3">
        <f t="shared" si="25"/>
        <v>0</v>
      </c>
      <c r="W29" s="3">
        <f t="shared" si="26"/>
        <v>0</v>
      </c>
      <c r="X29" s="3">
        <f t="shared" si="27"/>
        <v>0</v>
      </c>
      <c r="Y29" s="3">
        <f t="shared" si="28"/>
        <v>0</v>
      </c>
      <c r="Z29" s="3">
        <f t="shared" si="29"/>
        <v>0</v>
      </c>
      <c r="AA29" s="3">
        <f t="shared" si="30"/>
        <v>0</v>
      </c>
      <c r="AB29" s="3">
        <f t="shared" si="31"/>
        <v>0</v>
      </c>
      <c r="AC29" s="55">
        <f t="shared" si="32"/>
        <v>0</v>
      </c>
      <c r="AD29" s="3"/>
      <c r="AE29" s="3">
        <f t="shared" si="33"/>
        <v>0</v>
      </c>
      <c r="AF29" s="3">
        <f t="shared" si="34"/>
        <v>0</v>
      </c>
      <c r="AG29" s="3">
        <f t="shared" si="0"/>
        <v>0</v>
      </c>
      <c r="AH29" s="3"/>
      <c r="AI29" s="3">
        <f t="shared" si="35"/>
        <v>-455</v>
      </c>
      <c r="AJ29" s="3">
        <f t="shared" si="36"/>
        <v>0</v>
      </c>
      <c r="AK29" s="3">
        <f t="shared" si="37"/>
        <v>0</v>
      </c>
      <c r="AL29" s="3">
        <f t="shared" si="38"/>
        <v>0</v>
      </c>
      <c r="AM29" s="114" t="str">
        <f>IF($AG29=0,"N/A",IF(AI29&gt;AI$41,$A29,IF(AK29&gt;AK$36,$A29,IF(AND(AK29=AK$36,COUNTIF(AK$18:AK29,AK$36)&lt;=AL$34),$A29,"N/A"))))</f>
        <v>N/A</v>
      </c>
      <c r="AN29" s="3"/>
      <c r="AO29" s="3"/>
      <c r="AP29" s="3"/>
      <c r="AQ29" s="3"/>
      <c r="AR29" s="3">
        <f t="shared" si="39"/>
        <v>-578</v>
      </c>
      <c r="AS29" s="3">
        <f t="shared" si="40"/>
        <v>0</v>
      </c>
      <c r="AT29" s="3">
        <f t="shared" si="41"/>
        <v>0</v>
      </c>
      <c r="AU29" s="3">
        <f t="shared" si="42"/>
        <v>0</v>
      </c>
      <c r="AV29" s="114" t="str">
        <f>IF($AG29=0,"N/A",IF(AR29&gt;AR$41,$A29,IF(AT29&gt;AT$36,$A29,IF(AND(AT29=AT$36,COUNTIF(AT$18:AT29,AT$36)&lt;=AU$34),$A29,"N/A"))))</f>
        <v>N/A</v>
      </c>
      <c r="AW29" s="3"/>
      <c r="AX29" s="3"/>
      <c r="AY29" s="3"/>
      <c r="AZ29" s="3"/>
      <c r="BA29" s="61">
        <f t="shared" si="45"/>
        <v>-364</v>
      </c>
      <c r="BB29" s="61">
        <f t="shared" si="46"/>
        <v>0</v>
      </c>
      <c r="BC29" s="61">
        <f t="shared" si="47"/>
        <v>0</v>
      </c>
      <c r="BD29" s="61">
        <f t="shared" si="48"/>
        <v>0</v>
      </c>
      <c r="BE29" s="113" t="str">
        <f>IF($AG29=0,"N/A",IF(BA29&gt;BA$41,$A29,IF(BC29&gt;BC$36,$A29,IF(AND(BC29=BC$36,COUNTIF(BC$18:BC29,BC$36)&lt;=BD$34),$A29,"N/A"))))</f>
        <v>N/A</v>
      </c>
      <c r="BJ29" s="61">
        <f t="shared" si="49"/>
        <v>-462</v>
      </c>
      <c r="BK29" s="61">
        <f t="shared" si="50"/>
        <v>0</v>
      </c>
      <c r="BL29" s="61">
        <f t="shared" si="51"/>
        <v>0</v>
      </c>
      <c r="BM29" s="61">
        <f t="shared" si="52"/>
        <v>0</v>
      </c>
      <c r="BN29" s="113" t="str">
        <f>IF($AG29=0,"N/A",IF(BJ29&gt;BJ$41,$A29,IF(BL29&gt;BL$36,$A29,IF(AND(BL29=BL$36,COUNTIF(BL$18:BL29,BL$36)&lt;=BM$34),$A29,"N/A"))))</f>
        <v>N/A</v>
      </c>
      <c r="BS29" s="61">
        <f t="shared" si="55"/>
        <v>0</v>
      </c>
      <c r="BT29" s="61" t="str">
        <f>IF($BT$6="Yes",IF(AND('Pg 1'!$N$10&gt;1,'Pg 1'!$N$12&gt;1),$DJ29,IF(AND('Pg 1'!$N$10&gt;1,'Pg 1'!$N$12=1),$DL29,$DN29)),IF(AND('Pg 1'!$N$10&gt;1,'Pg 1'!$N$12&gt;1),$DB29,IF(AND('Pg 1'!$N$10&gt;1,'Pg 1'!$N$12=1),$DD29,$DF29)))</f>
        <v>N/A</v>
      </c>
      <c r="BU29" s="225" t="str">
        <f t="shared" si="56"/>
        <v>No</v>
      </c>
      <c r="BV29" s="61">
        <f t="shared" si="57"/>
        <v>-9999</v>
      </c>
      <c r="BW29" s="61">
        <f t="shared" si="58"/>
        <v>0</v>
      </c>
      <c r="BX29" s="61">
        <f t="shared" si="59"/>
        <v>0</v>
      </c>
      <c r="BY29" s="61">
        <f t="shared" si="60"/>
        <v>0</v>
      </c>
      <c r="BZ29" s="113" t="str">
        <f>IF($AG29=0,"N/A",IF(BV29&gt;BV$33,$A29,IF(BX29&gt;BX$36,$A29,IF(AND(BX29=BX$36,COUNTIF(BX$18:BX29,BX$36)&lt;=BY$34),$A29,"N/A"))))</f>
        <v>N/A</v>
      </c>
      <c r="CG29" s="61">
        <f t="shared" si="64"/>
        <v>0</v>
      </c>
      <c r="CH29" s="61">
        <f t="shared" si="6"/>
        <v>-750</v>
      </c>
      <c r="CI29" s="113" t="str">
        <f t="shared" si="7"/>
        <v>N/A</v>
      </c>
      <c r="CK29" s="61">
        <f t="shared" si="65"/>
        <v>0</v>
      </c>
      <c r="CL29" s="61" t="str">
        <f>IF($BT$6="Yes",IF(AND('Pg 1'!$N$10&gt;1,'Pg 1'!$N$12&gt;1),$DZ29,IF(AND('Pg 1'!$N$10&gt;1,'Pg 1'!$N$12=1),$EB29,ED29)),IF(AND('Pg 1'!$N$10&gt;1,'Pg 1'!$N$12&gt;1),$DR29,IF(AND('Pg 1'!$N$10&gt;1,'Pg 1'!$N$12=1),$DT29,$DV29)))</f>
        <v>N/A</v>
      </c>
      <c r="CM29" s="225" t="str">
        <f t="shared" si="66"/>
        <v>No</v>
      </c>
      <c r="CN29" s="61">
        <f t="shared" si="67"/>
        <v>-9999</v>
      </c>
      <c r="CO29" s="61">
        <f t="shared" si="68"/>
        <v>0</v>
      </c>
      <c r="CP29" s="61">
        <f t="shared" si="69"/>
        <v>0</v>
      </c>
      <c r="CQ29" s="61">
        <f t="shared" si="70"/>
        <v>0</v>
      </c>
      <c r="CR29" s="113" t="str">
        <f>IF($AG29=0,"N/A",IF(CN29&gt;CN$33,$A29,IF(CP29&gt;CP$36,$A29,IF(AND(CP29=CP$36,COUNTIF(CP$18:CP29,CP$36)&lt;=CQ$34),$A29,"N/A"))))</f>
        <v>N/A</v>
      </c>
      <c r="CZ29" s="80">
        <f t="shared" si="74"/>
        <v>0</v>
      </c>
      <c r="DA29" s="80"/>
      <c r="DB29" s="80" t="str">
        <f t="shared" si="75"/>
        <v>N/A</v>
      </c>
      <c r="DC29" s="80"/>
      <c r="DD29" s="80" t="str">
        <f t="shared" si="76"/>
        <v>N/A</v>
      </c>
      <c r="DE29" s="80"/>
      <c r="DF29" s="80" t="str">
        <f t="shared" si="77"/>
        <v>N/A</v>
      </c>
      <c r="DG29" s="80"/>
      <c r="DH29" s="80">
        <f t="shared" si="78"/>
        <v>0</v>
      </c>
      <c r="DI29" s="80"/>
      <c r="DJ29" s="80" t="str">
        <f t="shared" si="79"/>
        <v>N/A</v>
      </c>
      <c r="DK29" s="80"/>
      <c r="DL29" s="80" t="str">
        <f t="shared" si="80"/>
        <v>N/A</v>
      </c>
      <c r="DM29" s="80"/>
      <c r="DN29" s="80" t="str">
        <f t="shared" si="81"/>
        <v>N/A</v>
      </c>
      <c r="DO29" s="80"/>
      <c r="DP29" s="80">
        <f t="shared" si="82"/>
        <v>0</v>
      </c>
      <c r="DQ29" s="80"/>
      <c r="DR29" s="80" t="str">
        <f t="shared" si="83"/>
        <v>N/A</v>
      </c>
      <c r="DS29" s="80"/>
      <c r="DT29" s="80" t="str">
        <f t="shared" si="84"/>
        <v>N/A</v>
      </c>
      <c r="DU29" s="80"/>
      <c r="DV29" s="80" t="str">
        <f t="shared" si="85"/>
        <v>N/A</v>
      </c>
      <c r="DW29" s="80"/>
      <c r="DX29" s="80">
        <f t="shared" si="86"/>
        <v>0</v>
      </c>
      <c r="DY29" s="80"/>
      <c r="DZ29" s="80" t="str">
        <f t="shared" si="87"/>
        <v>N/A</v>
      </c>
      <c r="EA29" s="80"/>
      <c r="EB29" s="80" t="str">
        <f t="shared" si="88"/>
        <v>N/A</v>
      </c>
      <c r="EC29" s="80"/>
      <c r="ED29" s="80" t="str">
        <f t="shared" si="89"/>
        <v>N/A</v>
      </c>
      <c r="EF29" s="61"/>
      <c r="EG29" s="61">
        <f t="shared" si="90"/>
        <v>0</v>
      </c>
      <c r="EH29" s="61">
        <f t="shared" si="91"/>
        <v>0</v>
      </c>
      <c r="EI29" s="80" t="str">
        <f t="shared" si="9"/>
        <v>N/A</v>
      </c>
      <c r="EJ29" s="227" t="str">
        <f t="shared" si="92"/>
        <v>No</v>
      </c>
      <c r="EK29" s="121" t="str">
        <f t="shared" si="10"/>
        <v>No</v>
      </c>
      <c r="EL29" s="80" t="str">
        <f t="shared" si="11"/>
        <v>N/A</v>
      </c>
      <c r="EM29" s="227" t="str">
        <f t="shared" si="93"/>
        <v>No</v>
      </c>
      <c r="EN29" s="121" t="str">
        <f t="shared" si="12"/>
        <v>No</v>
      </c>
      <c r="EO29" s="80" t="str">
        <f t="shared" si="94"/>
        <v>N/A</v>
      </c>
      <c r="EP29" s="227" t="str">
        <f t="shared" si="95"/>
        <v>No</v>
      </c>
      <c r="EQ29" s="121" t="str">
        <f t="shared" si="13"/>
        <v>No</v>
      </c>
      <c r="ER29" s="80" t="str">
        <f t="shared" si="14"/>
        <v>N/A</v>
      </c>
      <c r="ES29" s="227" t="str">
        <f t="shared" si="96"/>
        <v>No</v>
      </c>
      <c r="ET29" s="121" t="str">
        <f t="shared" si="15"/>
        <v>No</v>
      </c>
      <c r="EU29" s="199">
        <f t="shared" si="97"/>
        <v>-9999</v>
      </c>
      <c r="EV29" s="199">
        <f t="shared" si="98"/>
        <v>-9999</v>
      </c>
      <c r="EW29" s="200">
        <f t="shared" si="99"/>
        <v>0</v>
      </c>
      <c r="EX29" s="200">
        <f t="shared" si="100"/>
        <v>0</v>
      </c>
      <c r="EY29" s="200">
        <f t="shared" si="101"/>
        <v>0</v>
      </c>
      <c r="EZ29" s="61">
        <f t="shared" si="102"/>
        <v>0</v>
      </c>
      <c r="FA29" s="113" t="str">
        <f>IF(EG29=0,"N/A",IF(EU29&gt;EU$33,A29,IF(EY29&gt;EY$33,A29,IF(AND(EY29=EY$33,COUNTIF(EY$18:EY29,EY$33)&lt;=EZ$35),A29,"N/A"))))</f>
        <v>N/A</v>
      </c>
      <c r="FE29" s="80"/>
      <c r="FF29" s="80"/>
      <c r="FG29" s="80"/>
      <c r="FK29" s="158">
        <f t="shared" si="105"/>
        <v>0</v>
      </c>
      <c r="FL29" s="158" t="str">
        <f>IF('Wrnt 9 Input'!$D$9="Northbound",Worksheet!U29,IF('Wrnt 9 Input'!$D$9="Southbound",Worksheet!V29,IF('Wrnt 9 Input'!$D$9="Eastbound",Worksheet!Y29,IF('Wrnt 9 Input'!$D$9="Westbound",Worksheet!Z29,"N/A"))))</f>
        <v>N/A</v>
      </c>
      <c r="FM29" s="200">
        <f t="shared" si="106"/>
        <v>0</v>
      </c>
      <c r="FN29" s="184" t="str">
        <f>IF('Wrnt 9 Input'!$B$13&lt;40,FL51,IF('Wrnt 9 Input'!$B$13&lt;60,FN51,IF('Wrnt 9 Input'!$B$13&lt;80,FP51,IF('Wrnt 9 Input'!$B$13&lt;100,FR51,IF('Wrnt 9 Input'!$B$13&lt;120,FT51,IF('Wrnt 9 Input'!$B$13&lt;=140,FV51,"N/A"))))))</f>
        <v>N/A</v>
      </c>
      <c r="FO29" s="227" t="str">
        <f t="shared" si="107"/>
        <v>No</v>
      </c>
      <c r="FP29" s="196">
        <f t="shared" si="20"/>
        <v>-9999</v>
      </c>
      <c r="FQ29" s="196">
        <f t="shared" si="21"/>
        <v>0</v>
      </c>
      <c r="FR29" s="199">
        <f t="shared" si="108"/>
        <v>0</v>
      </c>
      <c r="FS29" s="196">
        <f t="shared" si="22"/>
        <v>0</v>
      </c>
      <c r="FT29" s="113" t="str">
        <f>IF($AG29=0,"N/A",IF(FP29&gt;FP$33,$A29,IF(FR29&gt;FR$36,$A29,IF(AND(FR29=FR$36,COUNTIF(FR$18:FR29,FR$36)&lt;=FS$34),$A29,"N/A"))))</f>
        <v>N/A</v>
      </c>
      <c r="FU29" s="196"/>
      <c r="FV29" s="184"/>
      <c r="FW29" s="196"/>
      <c r="FX29" s="227"/>
    </row>
    <row r="30" spans="1:186">
      <c r="A30" s="113">
        <v>0.75</v>
      </c>
      <c r="B30" s="61" t="s">
        <v>164</v>
      </c>
      <c r="C30" s="4" t="s">
        <v>43</v>
      </c>
      <c r="D30" s="4">
        <f>'Input Sheet'!D48</f>
        <v>0</v>
      </c>
      <c r="E30" s="4">
        <f>'Input Sheet'!E48</f>
        <v>0</v>
      </c>
      <c r="F30" s="4">
        <f>'Input Sheet'!F48</f>
        <v>0</v>
      </c>
      <c r="G30" s="4">
        <f>'Input Sheet'!G48</f>
        <v>0</v>
      </c>
      <c r="H30" s="4">
        <f>'Input Sheet'!H48</f>
        <v>0</v>
      </c>
      <c r="I30" s="4">
        <f>'Input Sheet'!I48</f>
        <v>0</v>
      </c>
      <c r="J30" s="4">
        <f>'Input Sheet'!J48</f>
        <v>0</v>
      </c>
      <c r="K30" s="4">
        <f>'Input Sheet'!K48</f>
        <v>0</v>
      </c>
      <c r="L30" s="4">
        <f>'Input Sheet'!L48</f>
        <v>0</v>
      </c>
      <c r="M30" s="4">
        <f>'Input Sheet'!M48</f>
        <v>0</v>
      </c>
      <c r="N30" s="4">
        <f>'Input Sheet'!N48</f>
        <v>0</v>
      </c>
      <c r="O30" s="4">
        <f>'Input Sheet'!O48</f>
        <v>0</v>
      </c>
      <c r="P30" s="4">
        <f>'Input Sheet'!P48</f>
        <v>0</v>
      </c>
      <c r="Q30" s="4">
        <f>'Input Sheet'!Q48</f>
        <v>0</v>
      </c>
      <c r="R30" s="4">
        <f>'Input Sheet'!R48</f>
        <v>0</v>
      </c>
      <c r="S30" s="4">
        <f>'Input Sheet'!S48</f>
        <v>0</v>
      </c>
      <c r="U30" s="43">
        <f t="shared" si="24"/>
        <v>0</v>
      </c>
      <c r="V30" s="3">
        <f t="shared" si="25"/>
        <v>0</v>
      </c>
      <c r="W30" s="3">
        <f t="shared" si="26"/>
        <v>0</v>
      </c>
      <c r="X30" s="3">
        <f t="shared" si="27"/>
        <v>0</v>
      </c>
      <c r="Y30" s="3">
        <f t="shared" si="28"/>
        <v>0</v>
      </c>
      <c r="Z30" s="3">
        <f t="shared" si="29"/>
        <v>0</v>
      </c>
      <c r="AA30" s="3">
        <f t="shared" si="30"/>
        <v>0</v>
      </c>
      <c r="AB30" s="3">
        <f t="shared" si="31"/>
        <v>0</v>
      </c>
      <c r="AC30" s="55">
        <f t="shared" si="32"/>
        <v>0</v>
      </c>
      <c r="AD30" s="3"/>
      <c r="AE30" s="3">
        <f t="shared" si="33"/>
        <v>0</v>
      </c>
      <c r="AF30" s="3">
        <f t="shared" si="34"/>
        <v>0</v>
      </c>
      <c r="AG30" s="3">
        <f t="shared" si="0"/>
        <v>0</v>
      </c>
      <c r="AH30" s="3"/>
      <c r="AI30" s="3">
        <f t="shared" si="35"/>
        <v>-455</v>
      </c>
      <c r="AJ30" s="3">
        <f t="shared" si="36"/>
        <v>0</v>
      </c>
      <c r="AK30" s="3">
        <f t="shared" si="37"/>
        <v>0</v>
      </c>
      <c r="AL30" s="3">
        <f t="shared" si="38"/>
        <v>0</v>
      </c>
      <c r="AM30" s="114" t="str">
        <f>IF($AG30=0,"N/A",IF(AI30&gt;AI$41,$A30,IF(AK30&gt;AK$36,$A30,IF(AND(AK30=AK$36,COUNTIF(AK$18:AK30,AK$36)&lt;=AL$34),$A30,"N/A"))))</f>
        <v>N/A</v>
      </c>
      <c r="AN30" s="3"/>
      <c r="AO30" s="3"/>
      <c r="AP30" s="3"/>
      <c r="AQ30" s="3"/>
      <c r="AR30" s="3">
        <f t="shared" si="39"/>
        <v>-578</v>
      </c>
      <c r="AS30" s="3">
        <f t="shared" si="40"/>
        <v>0</v>
      </c>
      <c r="AT30" s="3">
        <f t="shared" si="41"/>
        <v>0</v>
      </c>
      <c r="AU30" s="3">
        <f t="shared" si="42"/>
        <v>0</v>
      </c>
      <c r="AV30" s="114" t="str">
        <f>IF($AG30=0,"N/A",IF(AR30&gt;AR$41,$A30,IF(AT30&gt;AT$36,$A30,IF(AND(AT30=AT$36,COUNTIF(AT$18:AT30,AT$36)&lt;=AU$34),$A30,"N/A"))))</f>
        <v>N/A</v>
      </c>
      <c r="AW30" s="3"/>
      <c r="AX30" s="3"/>
      <c r="AY30" s="3"/>
      <c r="AZ30" s="3"/>
      <c r="BA30" s="61">
        <f t="shared" si="45"/>
        <v>-364</v>
      </c>
      <c r="BB30" s="61">
        <f t="shared" si="46"/>
        <v>0</v>
      </c>
      <c r="BC30" s="61">
        <f t="shared" si="47"/>
        <v>0</v>
      </c>
      <c r="BD30" s="61">
        <f t="shared" si="48"/>
        <v>0</v>
      </c>
      <c r="BE30" s="113" t="str">
        <f>IF($AG30=0,"N/A",IF(BA30&gt;BA$41,$A30,IF(BC30&gt;BC$36,$A30,IF(AND(BC30=BC$36,COUNTIF(BC$18:BC30,BC$36)&lt;=BD$34),$A30,"N/A"))))</f>
        <v>N/A</v>
      </c>
      <c r="BJ30" s="61">
        <f t="shared" si="49"/>
        <v>-462</v>
      </c>
      <c r="BK30" s="61">
        <f t="shared" si="50"/>
        <v>0</v>
      </c>
      <c r="BL30" s="61">
        <f t="shared" si="51"/>
        <v>0</v>
      </c>
      <c r="BM30" s="61">
        <f t="shared" si="52"/>
        <v>0</v>
      </c>
      <c r="BN30" s="113" t="str">
        <f>IF($AG30=0,"N/A",IF(BJ30&gt;BJ$41,$A30,IF(BL30&gt;BL$36,$A30,IF(AND(BL30=BL$36,COUNTIF(BL$18:BL30,BL$36)&lt;=BM$34),$A30,"N/A"))))</f>
        <v>N/A</v>
      </c>
      <c r="BS30" s="61">
        <f t="shared" si="55"/>
        <v>0</v>
      </c>
      <c r="BT30" s="61" t="str">
        <f>IF($BT$6="Yes",IF(AND('Pg 1'!$N$10&gt;1,'Pg 1'!$N$12&gt;1),$DJ30,IF(AND('Pg 1'!$N$10&gt;1,'Pg 1'!$N$12=1),$DL30,$DN30)),IF(AND('Pg 1'!$N$10&gt;1,'Pg 1'!$N$12&gt;1),$DB30,IF(AND('Pg 1'!$N$10&gt;1,'Pg 1'!$N$12=1),$DD30,$DF30)))</f>
        <v>N/A</v>
      </c>
      <c r="BU30" s="225" t="str">
        <f t="shared" si="56"/>
        <v>No</v>
      </c>
      <c r="BV30" s="61">
        <f t="shared" si="57"/>
        <v>-9999</v>
      </c>
      <c r="BW30" s="61">
        <f t="shared" si="58"/>
        <v>0</v>
      </c>
      <c r="BX30" s="61">
        <f t="shared" si="59"/>
        <v>0</v>
      </c>
      <c r="BY30" s="61">
        <f t="shared" si="60"/>
        <v>0</v>
      </c>
      <c r="BZ30" s="113" t="str">
        <f>IF($AG30=0,"N/A",IF(BV30&gt;BV$33,$A30,IF(BX30&gt;BX$36,$A30,IF(AND(BX30=BX$36,COUNTIF(BX$18:BX30,BX$36)&lt;=BY$34),$A30,"N/A"))))</f>
        <v>N/A</v>
      </c>
      <c r="CG30" s="61">
        <f t="shared" si="64"/>
        <v>0</v>
      </c>
      <c r="CH30" s="61">
        <f t="shared" si="6"/>
        <v>-750</v>
      </c>
      <c r="CI30" s="113" t="str">
        <f t="shared" si="7"/>
        <v>N/A</v>
      </c>
      <c r="CK30" s="61">
        <f t="shared" si="65"/>
        <v>0</v>
      </c>
      <c r="CL30" s="61" t="str">
        <f>IF($BT$6="Yes",IF(AND('Pg 1'!$N$10&gt;1,'Pg 1'!$N$12&gt;1),$DZ30,IF(AND('Pg 1'!$N$10&gt;1,'Pg 1'!$N$12=1),$EB30,ED30)),IF(AND('Pg 1'!$N$10&gt;1,'Pg 1'!$N$12&gt;1),$DR30,IF(AND('Pg 1'!$N$10&gt;1,'Pg 1'!$N$12=1),$DT30,$DV30)))</f>
        <v>N/A</v>
      </c>
      <c r="CM30" s="225" t="str">
        <f t="shared" si="66"/>
        <v>No</v>
      </c>
      <c r="CN30" s="61">
        <f t="shared" si="67"/>
        <v>-9999</v>
      </c>
      <c r="CO30" s="61">
        <f t="shared" si="68"/>
        <v>0</v>
      </c>
      <c r="CP30" s="61">
        <f t="shared" si="69"/>
        <v>0</v>
      </c>
      <c r="CQ30" s="61">
        <f t="shared" si="70"/>
        <v>0</v>
      </c>
      <c r="CR30" s="113" t="str">
        <f>IF($AG30=0,"N/A",IF(CN30&gt;CN$33,$A30,IF(CP30&gt;CP$36,$A30,IF(AND(CP30=CP$36,COUNTIF(CP$18:CP30,CP$36)&lt;=CQ$34),$A30,"N/A"))))</f>
        <v>N/A</v>
      </c>
      <c r="CZ30" s="80">
        <f t="shared" si="74"/>
        <v>0</v>
      </c>
      <c r="DA30" s="80"/>
      <c r="DB30" s="80" t="str">
        <f t="shared" si="75"/>
        <v>N/A</v>
      </c>
      <c r="DC30" s="80"/>
      <c r="DD30" s="80" t="str">
        <f t="shared" si="76"/>
        <v>N/A</v>
      </c>
      <c r="DE30" s="80"/>
      <c r="DF30" s="80" t="str">
        <f t="shared" si="77"/>
        <v>N/A</v>
      </c>
      <c r="DG30" s="80"/>
      <c r="DH30" s="80">
        <f t="shared" si="78"/>
        <v>0</v>
      </c>
      <c r="DI30" s="80"/>
      <c r="DJ30" s="80" t="str">
        <f t="shared" si="79"/>
        <v>N/A</v>
      </c>
      <c r="DK30" s="80"/>
      <c r="DL30" s="80" t="str">
        <f t="shared" si="80"/>
        <v>N/A</v>
      </c>
      <c r="DM30" s="80"/>
      <c r="DN30" s="80" t="str">
        <f t="shared" si="81"/>
        <v>N/A</v>
      </c>
      <c r="DO30" s="80"/>
      <c r="DP30" s="80">
        <f t="shared" si="82"/>
        <v>0</v>
      </c>
      <c r="DQ30" s="80"/>
      <c r="DR30" s="80" t="str">
        <f t="shared" si="83"/>
        <v>N/A</v>
      </c>
      <c r="DS30" s="80"/>
      <c r="DT30" s="80" t="str">
        <f t="shared" si="84"/>
        <v>N/A</v>
      </c>
      <c r="DU30" s="80"/>
      <c r="DV30" s="80" t="str">
        <f t="shared" si="85"/>
        <v>N/A</v>
      </c>
      <c r="DW30" s="80"/>
      <c r="DX30" s="80">
        <f t="shared" si="86"/>
        <v>0</v>
      </c>
      <c r="DY30" s="80"/>
      <c r="DZ30" s="80" t="str">
        <f t="shared" si="87"/>
        <v>N/A</v>
      </c>
      <c r="EA30" s="80"/>
      <c r="EB30" s="80" t="str">
        <f t="shared" si="88"/>
        <v>N/A</v>
      </c>
      <c r="EC30" s="80"/>
      <c r="ED30" s="80" t="str">
        <f t="shared" si="89"/>
        <v>N/A</v>
      </c>
      <c r="EF30" s="61"/>
      <c r="EG30" s="61">
        <f t="shared" si="90"/>
        <v>0</v>
      </c>
      <c r="EH30" s="61">
        <f t="shared" si="91"/>
        <v>0</v>
      </c>
      <c r="EI30" s="80" t="str">
        <f t="shared" si="9"/>
        <v>N/A</v>
      </c>
      <c r="EJ30" s="227" t="str">
        <f t="shared" si="92"/>
        <v>No</v>
      </c>
      <c r="EK30" s="121" t="str">
        <f t="shared" si="10"/>
        <v>No</v>
      </c>
      <c r="EL30" s="80" t="str">
        <f t="shared" si="11"/>
        <v>N/A</v>
      </c>
      <c r="EM30" s="227" t="str">
        <f t="shared" si="93"/>
        <v>No</v>
      </c>
      <c r="EN30" s="121" t="str">
        <f t="shared" si="12"/>
        <v>No</v>
      </c>
      <c r="EO30" s="80" t="str">
        <f t="shared" si="94"/>
        <v>N/A</v>
      </c>
      <c r="EP30" s="227" t="str">
        <f t="shared" si="95"/>
        <v>No</v>
      </c>
      <c r="EQ30" s="121" t="str">
        <f t="shared" si="13"/>
        <v>No</v>
      </c>
      <c r="ER30" s="80" t="str">
        <f t="shared" si="14"/>
        <v>N/A</v>
      </c>
      <c r="ES30" s="227" t="str">
        <f t="shared" si="96"/>
        <v>No</v>
      </c>
      <c r="ET30" s="121" t="str">
        <f t="shared" si="15"/>
        <v>No</v>
      </c>
      <c r="EU30" s="199">
        <f t="shared" si="97"/>
        <v>-9999</v>
      </c>
      <c r="EV30" s="199">
        <f t="shared" si="98"/>
        <v>-9999</v>
      </c>
      <c r="EW30" s="200">
        <f t="shared" si="99"/>
        <v>0</v>
      </c>
      <c r="EX30" s="200">
        <f t="shared" si="100"/>
        <v>0</v>
      </c>
      <c r="EY30" s="200">
        <f t="shared" si="101"/>
        <v>0</v>
      </c>
      <c r="EZ30" s="61">
        <f t="shared" si="102"/>
        <v>0</v>
      </c>
      <c r="FA30" s="113" t="str">
        <f>IF(EG30=0,"N/A",IF(EU30&gt;EU$33,A30,IF(EY30&gt;EY$33,A30,IF(AND(EY30=EY$33,COUNTIF(EY$18:EY30,EY$33)&lt;=EZ$35),A30,"N/A"))))</f>
        <v>N/A</v>
      </c>
      <c r="FE30" s="80"/>
      <c r="FF30" s="80"/>
      <c r="FG30" s="80"/>
      <c r="FK30" s="158">
        <f t="shared" si="105"/>
        <v>0</v>
      </c>
      <c r="FL30" s="158" t="str">
        <f>IF('Wrnt 9 Input'!$D$9="Northbound",Worksheet!U30,IF('Wrnt 9 Input'!$D$9="Southbound",Worksheet!V30,IF('Wrnt 9 Input'!$D$9="Eastbound",Worksheet!Y30,IF('Wrnt 9 Input'!$D$9="Westbound",Worksheet!Z30,"N/A"))))</f>
        <v>N/A</v>
      </c>
      <c r="FM30" s="200">
        <f t="shared" si="106"/>
        <v>0</v>
      </c>
      <c r="FN30" s="184" t="str">
        <f>IF('Wrnt 9 Input'!$B$13&lt;40,FL52,IF('Wrnt 9 Input'!$B$13&lt;60,FN52,IF('Wrnt 9 Input'!$B$13&lt;80,FP52,IF('Wrnt 9 Input'!$B$13&lt;100,FR52,IF('Wrnt 9 Input'!$B$13&lt;120,FT52,IF('Wrnt 9 Input'!$B$13&lt;=140,FV52,"N/A"))))))</f>
        <v>N/A</v>
      </c>
      <c r="FO30" s="227" t="str">
        <f t="shared" si="107"/>
        <v>No</v>
      </c>
      <c r="FP30" s="196">
        <f t="shared" si="20"/>
        <v>-9999</v>
      </c>
      <c r="FQ30" s="196">
        <f t="shared" si="21"/>
        <v>0</v>
      </c>
      <c r="FR30" s="199">
        <f t="shared" si="108"/>
        <v>0</v>
      </c>
      <c r="FS30" s="196">
        <f t="shared" si="22"/>
        <v>0</v>
      </c>
      <c r="FT30" s="113" t="str">
        <f>IF($AG30=0,"N/A",IF(FP30&gt;FP$33,$A30,IF(FR30&gt;FR$36,$A30,IF(AND(FR30=FR$36,COUNTIF(FR$18:FR30,FR$36)&lt;=FS$34),$A30,"N/A"))))</f>
        <v>N/A</v>
      </c>
      <c r="FU30" s="196"/>
      <c r="FV30" s="184"/>
      <c r="FW30" s="196"/>
      <c r="FX30" s="227"/>
    </row>
    <row r="31" spans="1:186">
      <c r="C31" s="3"/>
      <c r="D31" s="3"/>
      <c r="E31" s="3"/>
      <c r="F31" s="3"/>
      <c r="G31" s="3"/>
      <c r="H31" s="3"/>
      <c r="I31" s="3"/>
      <c r="J31" s="3"/>
      <c r="K31" s="3"/>
      <c r="L31" s="3"/>
      <c r="M31" s="3"/>
      <c r="N31" s="3"/>
      <c r="O31" s="3"/>
      <c r="P31" s="3"/>
      <c r="Q31" s="3"/>
      <c r="R31" s="3"/>
      <c r="S31" s="3"/>
      <c r="U31" s="5"/>
      <c r="V31" s="1" t="s">
        <v>141</v>
      </c>
      <c r="W31" s="1">
        <f>SUM(W18:W30)</f>
        <v>0</v>
      </c>
      <c r="X31" s="1"/>
      <c r="Y31" s="1"/>
      <c r="Z31" s="1" t="s">
        <v>142</v>
      </c>
      <c r="AA31" s="1">
        <f>SUM(AA18:AA30)</f>
        <v>0</v>
      </c>
      <c r="AB31" s="1"/>
      <c r="AC31" s="6"/>
      <c r="AD31" s="3"/>
      <c r="AJ31" s="61">
        <f>SUM(AJ18:AJ30)</f>
        <v>0</v>
      </c>
      <c r="AL31" s="61">
        <f>SUM(AL18:AL30)</f>
        <v>0</v>
      </c>
      <c r="AS31" s="61">
        <f>SUM(AS18:AS30)</f>
        <v>0</v>
      </c>
      <c r="AU31" s="61">
        <f>SUM(AU18:AU30)</f>
        <v>0</v>
      </c>
      <c r="BB31" s="61">
        <f>SUM(BB18:BB30)</f>
        <v>0</v>
      </c>
      <c r="BD31" s="61">
        <f>SUM(BD18:BD30)</f>
        <v>0</v>
      </c>
      <c r="BK31" s="61">
        <f>SUM(BK18:BK30)</f>
        <v>0</v>
      </c>
      <c r="BM31" s="61">
        <f>SUM(BM18:BM30)</f>
        <v>0</v>
      </c>
      <c r="BW31" s="61">
        <f>SUM(BW18:BW30)</f>
        <v>0</v>
      </c>
      <c r="BY31" s="61">
        <f>SUM(BY18:BY30)</f>
        <v>0</v>
      </c>
      <c r="CO31" s="61">
        <f>SUM(CO18:CO30)</f>
        <v>0</v>
      </c>
      <c r="CQ31" s="61">
        <f>SUM(CQ18:CQ30)</f>
        <v>0</v>
      </c>
      <c r="EW31" s="61">
        <f>SUM(EW18:EW30)</f>
        <v>0</v>
      </c>
      <c r="EX31" s="200">
        <f>SUM(EX18:EX30)</f>
        <v>0</v>
      </c>
      <c r="EZ31" s="61">
        <f>SUM(EZ18:EZ30)</f>
        <v>0</v>
      </c>
      <c r="FK31" s="158"/>
      <c r="FQ31" s="196">
        <f>SUM(FQ18:FQ30)</f>
        <v>0</v>
      </c>
      <c r="FR31" s="196"/>
      <c r="FS31" s="196">
        <f>SUM(FS18:FS30)</f>
        <v>0</v>
      </c>
      <c r="FW31" s="196"/>
      <c r="FX31" s="227"/>
    </row>
    <row r="32" spans="1:186">
      <c r="C32" s="3"/>
      <c r="D32" s="3"/>
      <c r="E32" s="3"/>
      <c r="F32" s="3"/>
      <c r="G32" s="3"/>
      <c r="H32" s="3"/>
      <c r="I32" s="3"/>
      <c r="J32" s="3"/>
      <c r="K32" s="3"/>
      <c r="L32" s="3"/>
      <c r="M32" s="3"/>
      <c r="N32" s="3"/>
      <c r="O32" s="68"/>
      <c r="P32" s="68"/>
      <c r="Q32" s="68"/>
      <c r="R32" s="68"/>
      <c r="AG32" s="61" t="s">
        <v>277</v>
      </c>
      <c r="AI32" s="61" t="s">
        <v>209</v>
      </c>
      <c r="AJ32" s="61" t="s">
        <v>210</v>
      </c>
      <c r="AK32" s="61" t="s">
        <v>206</v>
      </c>
      <c r="AL32" s="61" t="s">
        <v>210</v>
      </c>
      <c r="AR32" s="61" t="s">
        <v>209</v>
      </c>
      <c r="AS32" s="61" t="s">
        <v>210</v>
      </c>
      <c r="AT32" s="61" t="s">
        <v>206</v>
      </c>
      <c r="AU32" s="61" t="s">
        <v>210</v>
      </c>
      <c r="BA32" s="61" t="s">
        <v>209</v>
      </c>
      <c r="BB32" s="61" t="s">
        <v>210</v>
      </c>
      <c r="BC32" s="61" t="s">
        <v>206</v>
      </c>
      <c r="BD32" s="61" t="s">
        <v>210</v>
      </c>
      <c r="BJ32" s="61" t="s">
        <v>209</v>
      </c>
      <c r="BK32" s="61" t="s">
        <v>210</v>
      </c>
      <c r="BL32" s="61" t="s">
        <v>206</v>
      </c>
      <c r="BM32" s="61" t="s">
        <v>210</v>
      </c>
      <c r="BV32" s="61" t="s">
        <v>215</v>
      </c>
      <c r="BW32" s="61" t="s">
        <v>210</v>
      </c>
      <c r="BX32" s="61" t="s">
        <v>206</v>
      </c>
      <c r="BY32" s="61" t="s">
        <v>210</v>
      </c>
      <c r="CG32" s="61" t="s">
        <v>233</v>
      </c>
      <c r="CN32" s="61" t="s">
        <v>215</v>
      </c>
      <c r="CO32" s="61" t="s">
        <v>210</v>
      </c>
      <c r="CP32" s="61" t="s">
        <v>206</v>
      </c>
      <c r="CQ32" s="61" t="s">
        <v>210</v>
      </c>
      <c r="EH32" s="61" t="s">
        <v>215</v>
      </c>
      <c r="EK32" s="121" t="str">
        <f>IF(COUNTIF(EK18:EK30,"Yes")&gt;=4,"Yes","No")</f>
        <v>No</v>
      </c>
      <c r="EN32" s="121" t="str">
        <f>IF(COUNTIF(EN18:EN30,"Yes")&gt;=4,"Yes","No")</f>
        <v>No</v>
      </c>
      <c r="EO32" s="117"/>
      <c r="EQ32" s="121" t="str">
        <f>IF(COUNTIF(EQ18:EQ30,"Yes")&gt;=1,"Yes","No")</f>
        <v>No</v>
      </c>
      <c r="ET32" s="121" t="str">
        <f>IF(COUNTIF(ET18:ET30,"Yes")&gt;=1,"Yes","No")</f>
        <v>No</v>
      </c>
      <c r="EU32" s="199" t="s">
        <v>215</v>
      </c>
      <c r="EV32" s="199" t="s">
        <v>215</v>
      </c>
      <c r="EY32" s="61" t="s">
        <v>213</v>
      </c>
      <c r="FL32" s="196"/>
      <c r="FM32" s="196"/>
      <c r="FP32" s="196" t="s">
        <v>215</v>
      </c>
      <c r="FQ32" s="196" t="s">
        <v>210</v>
      </c>
      <c r="FR32" s="196" t="s">
        <v>206</v>
      </c>
      <c r="FS32" s="196" t="s">
        <v>210</v>
      </c>
      <c r="FU32" s="196"/>
    </row>
    <row r="33" spans="1:180">
      <c r="C33" s="3"/>
      <c r="D33" s="3"/>
      <c r="E33" s="3"/>
      <c r="F33" s="3"/>
      <c r="G33" s="3"/>
      <c r="H33" s="3"/>
      <c r="I33" s="3"/>
      <c r="J33" s="3"/>
      <c r="K33" s="3"/>
      <c r="L33" s="3"/>
      <c r="M33" s="3"/>
      <c r="N33" s="3"/>
      <c r="T33" s="61"/>
      <c r="AG33" s="61" t="s">
        <v>278</v>
      </c>
      <c r="AI33" s="61" t="s">
        <v>211</v>
      </c>
      <c r="AJ33" s="61" t="s">
        <v>212</v>
      </c>
      <c r="AK33" s="61">
        <f>LARGE(AK18:AK30,1)</f>
        <v>0</v>
      </c>
      <c r="AL33" s="61" t="s">
        <v>212</v>
      </c>
      <c r="AR33" s="61" t="s">
        <v>211</v>
      </c>
      <c r="AS33" s="61" t="s">
        <v>212</v>
      </c>
      <c r="AT33" s="61">
        <f>LARGE(AT18:AT30,1)</f>
        <v>0</v>
      </c>
      <c r="AU33" s="61" t="s">
        <v>212</v>
      </c>
      <c r="BA33" s="61" t="s">
        <v>211</v>
      </c>
      <c r="BB33" s="61" t="s">
        <v>212</v>
      </c>
      <c r="BC33" s="61">
        <f>LARGE(BC18:BC30,1)</f>
        <v>0</v>
      </c>
      <c r="BD33" s="61" t="s">
        <v>212</v>
      </c>
      <c r="BJ33" s="61" t="s">
        <v>211</v>
      </c>
      <c r="BK33" s="61" t="s">
        <v>212</v>
      </c>
      <c r="BL33" s="61">
        <f>LARGE(BL18:BL30,1)</f>
        <v>0</v>
      </c>
      <c r="BM33" s="61" t="s">
        <v>212</v>
      </c>
      <c r="BV33" s="61">
        <f>LARGE(BV18:BV30,8)</f>
        <v>-9999</v>
      </c>
      <c r="BW33" s="61" t="s">
        <v>212</v>
      </c>
      <c r="BX33" s="61">
        <f>LARGE(BX18:BX30,1)</f>
        <v>0</v>
      </c>
      <c r="BY33" s="61" t="s">
        <v>212</v>
      </c>
      <c r="CG33" s="61" t="s">
        <v>212</v>
      </c>
      <c r="CH33" s="61">
        <f>LARGE(CH18:CH30,1)</f>
        <v>-750</v>
      </c>
      <c r="CI33" s="61" t="s">
        <v>234</v>
      </c>
      <c r="CN33" s="61">
        <f>IF(COUNTIF(CN18:CN30,"N/A")=13,"N/A",LARGE(CN18:CN30,8))</f>
        <v>-9999</v>
      </c>
      <c r="CO33" s="61" t="s">
        <v>212</v>
      </c>
      <c r="CP33" s="61">
        <f>LARGE(CP18:CP30,1)</f>
        <v>0</v>
      </c>
      <c r="CQ33" s="61" t="s">
        <v>212</v>
      </c>
      <c r="CZ33" s="296" t="s">
        <v>157</v>
      </c>
      <c r="DA33" s="296"/>
      <c r="DB33" s="296"/>
      <c r="DC33" s="296"/>
      <c r="DD33" s="296"/>
      <c r="DE33" s="296"/>
      <c r="DF33" s="296"/>
      <c r="DG33" s="296"/>
      <c r="DH33" s="296"/>
      <c r="DI33" s="296"/>
      <c r="DJ33" s="296"/>
      <c r="DK33" s="296"/>
      <c r="DL33" s="296"/>
      <c r="DM33" s="296"/>
      <c r="DN33" s="296"/>
      <c r="DO33" s="296"/>
      <c r="DP33" s="296"/>
      <c r="DQ33" s="296"/>
      <c r="DR33" s="296"/>
      <c r="DS33" s="296"/>
      <c r="DT33" s="296"/>
      <c r="DU33" s="296"/>
      <c r="DV33" s="296"/>
      <c r="DW33" s="296"/>
      <c r="DX33" s="296"/>
      <c r="DY33" s="296"/>
      <c r="DZ33" s="296"/>
      <c r="EA33" s="296"/>
      <c r="EB33" s="296"/>
      <c r="EC33" s="296"/>
      <c r="ED33" s="296"/>
      <c r="EH33" s="61">
        <f>LARGE(EH18:EH30,8)</f>
        <v>0</v>
      </c>
      <c r="EO33" s="117"/>
      <c r="EU33" s="199">
        <f>LARGE(EU18:EU30,8)</f>
        <v>-9999</v>
      </c>
      <c r="EV33" s="199">
        <f>LARGE(EV18:EV30,8)</f>
        <v>-9999</v>
      </c>
      <c r="EW33" s="61" t="s">
        <v>210</v>
      </c>
      <c r="EX33" s="200" t="s">
        <v>210</v>
      </c>
      <c r="EY33" s="61">
        <f>IF(COUNTIF(EG18:EG30,"N/A")=13,"N/A",LARGE(EY18:EY30,EW35))</f>
        <v>0</v>
      </c>
      <c r="EZ33" s="61" t="s">
        <v>210</v>
      </c>
      <c r="FL33" s="196"/>
      <c r="FM33" s="196"/>
      <c r="FP33" s="196">
        <f>LARGE(FP18:FP30,8)</f>
        <v>-9999</v>
      </c>
      <c r="FQ33" s="196" t="s">
        <v>212</v>
      </c>
      <c r="FR33" s="196">
        <f>LARGE(FR18:FR30,1)</f>
        <v>0</v>
      </c>
      <c r="FS33" s="196" t="s">
        <v>212</v>
      </c>
      <c r="FU33" s="196"/>
      <c r="FW33" s="196"/>
      <c r="FX33" s="227"/>
    </row>
    <row r="34" spans="1:180" ht="13.5" customHeight="1">
      <c r="C34" s="3"/>
      <c r="D34" s="3"/>
      <c r="E34" s="3"/>
      <c r="F34" s="3"/>
      <c r="G34" s="3"/>
      <c r="H34" s="3"/>
      <c r="I34" s="3"/>
      <c r="J34" s="3"/>
      <c r="K34" s="3"/>
      <c r="L34" s="3"/>
      <c r="M34" s="3"/>
      <c r="N34" s="3"/>
      <c r="T34" s="61"/>
      <c r="AG34" s="61">
        <f>13-COUNTIF(AG18:AG30,0)</f>
        <v>0</v>
      </c>
      <c r="AI34" s="61">
        <f>'Pg 1'!$D$25</f>
        <v>350</v>
      </c>
      <c r="AJ34" s="61">
        <f>8-AJ31</f>
        <v>8</v>
      </c>
      <c r="AL34" s="61">
        <f>8-AJ31-AL31</f>
        <v>8</v>
      </c>
      <c r="AR34" s="61">
        <f>'Pg 1'!$D$33</f>
        <v>525</v>
      </c>
      <c r="AS34" s="61">
        <f>8-AS31</f>
        <v>8</v>
      </c>
      <c r="AU34" s="61">
        <f>8-AS31-AU31</f>
        <v>8</v>
      </c>
      <c r="BA34" s="61">
        <f>'Pg 1'!$D$42</f>
        <v>280</v>
      </c>
      <c r="BB34" s="61">
        <f>8-BB31</f>
        <v>8</v>
      </c>
      <c r="BD34" s="61">
        <f>8-BB31-BD31</f>
        <v>8</v>
      </c>
      <c r="BJ34" s="61">
        <f>'Pg 1'!$D$49</f>
        <v>420</v>
      </c>
      <c r="BK34" s="61">
        <f>8-BK31</f>
        <v>8</v>
      </c>
      <c r="BM34" s="61">
        <f>8-BK31-BM31</f>
        <v>8</v>
      </c>
      <c r="BW34" s="61">
        <f>8-BW31</f>
        <v>8</v>
      </c>
      <c r="BY34" s="61">
        <f>8-BW31-BY31</f>
        <v>8</v>
      </c>
      <c r="CG34" s="61">
        <f>IF(BT10=3,650,800)</f>
        <v>650</v>
      </c>
      <c r="CH34" s="113" t="str">
        <f>IF(COUNTIF(CI18:CI30,"N/A")=13,"N/A",SMALL(CI18:CI30,1))</f>
        <v>N/A</v>
      </c>
      <c r="CI34" s="61" t="s">
        <v>235</v>
      </c>
      <c r="CO34" s="61">
        <f>8-CO31</f>
        <v>8</v>
      </c>
      <c r="CQ34" s="61">
        <f>8-CO31-CQ31</f>
        <v>8</v>
      </c>
      <c r="EI34" s="117"/>
      <c r="ER34" s="117"/>
      <c r="EW34" s="61" t="s">
        <v>212</v>
      </c>
      <c r="EX34" s="200" t="s">
        <v>212</v>
      </c>
      <c r="EZ34" s="61" t="s">
        <v>212</v>
      </c>
      <c r="FE34" s="61"/>
      <c r="FF34" s="227"/>
      <c r="FG34" s="227"/>
      <c r="FH34" s="61"/>
      <c r="FI34" s="61"/>
      <c r="FQ34" s="196">
        <f>8-FQ31</f>
        <v>8</v>
      </c>
      <c r="FR34" s="196"/>
      <c r="FS34" s="196">
        <f>8-FQ31-FS31</f>
        <v>8</v>
      </c>
      <c r="FW34" s="196"/>
      <c r="FX34" s="227"/>
    </row>
    <row r="35" spans="1:180">
      <c r="C35" s="3"/>
      <c r="D35" s="3"/>
      <c r="E35" s="3"/>
      <c r="F35" s="3"/>
      <c r="G35" s="3"/>
      <c r="H35" s="3"/>
      <c r="I35" s="3"/>
      <c r="J35" s="3"/>
      <c r="K35" s="3"/>
      <c r="L35" s="3"/>
      <c r="M35" s="3"/>
      <c r="N35" s="3"/>
      <c r="T35" s="61"/>
      <c r="AK35" s="61" t="s">
        <v>213</v>
      </c>
      <c r="AT35" s="61" t="s">
        <v>213</v>
      </c>
      <c r="BC35" s="61" t="s">
        <v>213</v>
      </c>
      <c r="BL35" s="61" t="s">
        <v>213</v>
      </c>
      <c r="BX35" s="61" t="s">
        <v>213</v>
      </c>
      <c r="CH35" s="61" t="str">
        <f>IF(CH34="N/A","N/A",LOOKUP($CH34,$A$18:$A$30,B$18:B$30))</f>
        <v>N/A</v>
      </c>
      <c r="CI35" s="61" t="s">
        <v>236</v>
      </c>
      <c r="CP35" s="61" t="s">
        <v>213</v>
      </c>
      <c r="EL35" s="117"/>
      <c r="EW35" s="61">
        <f>8-EW31</f>
        <v>8</v>
      </c>
      <c r="EX35" s="200">
        <f>8-EX31</f>
        <v>8</v>
      </c>
      <c r="EZ35" s="61">
        <f>8-EW31-EZ31</f>
        <v>8</v>
      </c>
      <c r="FE35" s="61"/>
      <c r="FF35" s="227"/>
      <c r="FG35" s="227"/>
      <c r="FH35" s="61"/>
      <c r="FI35" s="61"/>
      <c r="FR35" s="196" t="s">
        <v>213</v>
      </c>
      <c r="FW35" s="196"/>
      <c r="FX35" s="227"/>
    </row>
    <row r="36" spans="1:180">
      <c r="A36" s="104"/>
      <c r="B36" s="105"/>
      <c r="C36" s="106"/>
      <c r="D36" s="106"/>
      <c r="E36" s="106"/>
      <c r="F36" s="106"/>
      <c r="G36" s="273"/>
      <c r="H36" s="273"/>
      <c r="I36" s="273"/>
      <c r="J36" s="273"/>
      <c r="K36" s="273"/>
      <c r="L36" s="273"/>
      <c r="M36" s="3"/>
      <c r="N36" s="3"/>
      <c r="AI36" s="61" t="s">
        <v>214</v>
      </c>
      <c r="AK36" s="61">
        <f>LARGE(AK18:AK30,AJ34)</f>
        <v>0</v>
      </c>
      <c r="AR36" s="61" t="s">
        <v>214</v>
      </c>
      <c r="AT36" s="61">
        <f>LARGE(AT18:AT30,AS34)</f>
        <v>0</v>
      </c>
      <c r="BA36" s="61" t="s">
        <v>214</v>
      </c>
      <c r="BC36" s="61">
        <f>LARGE(BC18:BC30,BB34)</f>
        <v>0</v>
      </c>
      <c r="BJ36" s="61" t="s">
        <v>214</v>
      </c>
      <c r="BL36" s="61">
        <f>LARGE(BL18:BL30,BK34)</f>
        <v>0</v>
      </c>
      <c r="BX36" s="61">
        <f>LARGE(BX18:BX30,BW34)</f>
        <v>0</v>
      </c>
      <c r="CG36" s="61" t="s">
        <v>237</v>
      </c>
      <c r="CH36" s="61">
        <f>IF($CH34="N/A",0,LOOKUP($CH34,$A$18:$A$30,AC$18:AC$30))</f>
        <v>0</v>
      </c>
      <c r="CI36" s="61" t="s">
        <v>238</v>
      </c>
      <c r="CP36" s="61">
        <f>LARGE(CP18:CP30,CO34)</f>
        <v>0</v>
      </c>
      <c r="CZ36" s="389" t="s">
        <v>252</v>
      </c>
      <c r="DA36" s="389"/>
      <c r="DB36" s="389"/>
      <c r="DC36" s="389"/>
      <c r="DD36" s="389"/>
      <c r="DE36" s="389"/>
      <c r="DF36" s="389"/>
      <c r="DH36" s="389" t="s">
        <v>253</v>
      </c>
      <c r="DI36" s="389"/>
      <c r="DJ36" s="389"/>
      <c r="DK36" s="389"/>
      <c r="DL36" s="389"/>
      <c r="DM36" s="389"/>
      <c r="DN36" s="389"/>
      <c r="DP36" s="389" t="s">
        <v>254</v>
      </c>
      <c r="DQ36" s="389"/>
      <c r="DR36" s="389"/>
      <c r="DS36" s="389"/>
      <c r="DT36" s="389"/>
      <c r="DU36" s="389"/>
      <c r="DV36" s="389"/>
      <c r="DX36" s="389" t="s">
        <v>255</v>
      </c>
      <c r="DY36" s="389"/>
      <c r="DZ36" s="389"/>
      <c r="EA36" s="389"/>
      <c r="EB36" s="389"/>
      <c r="EC36" s="389"/>
      <c r="ED36" s="389"/>
      <c r="EO36" s="117"/>
      <c r="FR36" s="196">
        <f>LARGE(FR18:FR30,FQ34)</f>
        <v>0</v>
      </c>
    </row>
    <row r="37" spans="1:180">
      <c r="A37" s="104"/>
      <c r="B37" s="105"/>
      <c r="C37" s="375" t="s">
        <v>127</v>
      </c>
      <c r="D37" s="375"/>
      <c r="E37" s="375"/>
      <c r="F37" s="106"/>
      <c r="G37" s="106"/>
      <c r="H37" s="106"/>
      <c r="I37" s="106"/>
      <c r="J37" s="106"/>
      <c r="K37" s="106"/>
      <c r="L37" s="106"/>
      <c r="M37" s="106"/>
      <c r="N37" s="106"/>
      <c r="AI37" s="61" t="s">
        <v>211</v>
      </c>
      <c r="AR37" s="61" t="s">
        <v>211</v>
      </c>
      <c r="BA37" s="61" t="s">
        <v>211</v>
      </c>
      <c r="BJ37" s="61" t="s">
        <v>211</v>
      </c>
      <c r="CG37" s="61" t="s">
        <v>212</v>
      </c>
      <c r="CH37" s="61">
        <f>IF($CH34="N/A",0,LOOKUP($CH34,$A$18:$A$30,AF$18:AF$30))</f>
        <v>0</v>
      </c>
      <c r="CI37" s="61" t="s">
        <v>239</v>
      </c>
      <c r="CZ37" s="389" t="s">
        <v>149</v>
      </c>
      <c r="DA37" s="389"/>
      <c r="DB37" s="389"/>
      <c r="DC37" s="389"/>
      <c r="DD37" s="389"/>
      <c r="DE37" s="389"/>
      <c r="DF37" s="389"/>
      <c r="DH37" s="389" t="s">
        <v>150</v>
      </c>
      <c r="DI37" s="389"/>
      <c r="DJ37" s="389"/>
      <c r="DK37" s="389"/>
      <c r="DL37" s="389"/>
      <c r="DM37" s="389"/>
      <c r="DN37" s="389"/>
      <c r="DP37" s="389" t="s">
        <v>149</v>
      </c>
      <c r="DQ37" s="389"/>
      <c r="DR37" s="389"/>
      <c r="DS37" s="389"/>
      <c r="DT37" s="389"/>
      <c r="DU37" s="389"/>
      <c r="DV37" s="389"/>
      <c r="DX37" s="389" t="s">
        <v>150</v>
      </c>
      <c r="DY37" s="389"/>
      <c r="DZ37" s="389"/>
      <c r="EA37" s="389"/>
      <c r="EB37" s="389"/>
      <c r="EC37" s="389"/>
      <c r="ED37" s="389"/>
      <c r="EI37" s="413" t="s">
        <v>282</v>
      </c>
      <c r="EJ37" s="413"/>
      <c r="EK37" s="413"/>
      <c r="EL37" s="413"/>
      <c r="EM37" s="413"/>
      <c r="EN37" s="413"/>
      <c r="EO37" s="413"/>
      <c r="EP37" s="413"/>
      <c r="EQ37" s="413"/>
      <c r="ER37" s="413"/>
      <c r="ES37" s="413"/>
      <c r="ET37" s="202"/>
      <c r="EU37" s="202"/>
      <c r="EV37" s="202"/>
      <c r="EW37" s="29"/>
      <c r="EX37" s="29"/>
      <c r="EY37" s="29"/>
      <c r="EZ37" s="29"/>
    </row>
    <row r="38" spans="1:180">
      <c r="A38" s="104"/>
      <c r="B38" s="105" t="s">
        <v>128</v>
      </c>
      <c r="C38" s="106" t="str">
        <f>'Input Sheet'!E52</f>
        <v>NB</v>
      </c>
      <c r="D38" s="106" t="str">
        <f>'Input Sheet'!F52</f>
        <v>SB</v>
      </c>
      <c r="E38" s="106" t="s">
        <v>129</v>
      </c>
      <c r="F38" s="106"/>
      <c r="G38" s="106"/>
      <c r="H38" s="106"/>
      <c r="I38" s="106"/>
      <c r="J38" s="106"/>
      <c r="K38" s="106"/>
      <c r="L38" s="106"/>
      <c r="M38" s="106"/>
      <c r="N38" s="106"/>
      <c r="AI38" s="61">
        <f>'Pg 1'!$D$26</f>
        <v>105</v>
      </c>
      <c r="AR38" s="61">
        <f>'Pg 1'!$D$34</f>
        <v>53</v>
      </c>
      <c r="BA38" s="61">
        <f>'Pg 1'!$D$43</f>
        <v>84</v>
      </c>
      <c r="BJ38" s="61">
        <f>'Pg 1'!$D$50</f>
        <v>42</v>
      </c>
      <c r="CG38" s="61">
        <f>IF('Pg 1'!$N$12&gt;1,150,100)</f>
        <v>100</v>
      </c>
      <c r="CZ38" s="61" t="s">
        <v>256</v>
      </c>
      <c r="DH38" s="61" t="s">
        <v>256</v>
      </c>
      <c r="DP38" s="61" t="s">
        <v>256</v>
      </c>
      <c r="DX38" s="61" t="s">
        <v>256</v>
      </c>
      <c r="EI38" s="412" t="s">
        <v>284</v>
      </c>
      <c r="EJ38" s="412"/>
      <c r="EK38" s="123"/>
      <c r="EL38" s="383" t="s">
        <v>285</v>
      </c>
      <c r="EM38" s="383"/>
      <c r="EN38" s="122"/>
      <c r="EO38" s="383" t="s">
        <v>286</v>
      </c>
      <c r="EP38" s="383"/>
      <c r="EQ38" s="122"/>
      <c r="ER38" s="383" t="s">
        <v>287</v>
      </c>
      <c r="ES38" s="383"/>
      <c r="ET38" s="106"/>
      <c r="EU38" s="31"/>
      <c r="EV38" s="31"/>
      <c r="EZ38" s="31"/>
      <c r="FK38" s="389" t="s">
        <v>394</v>
      </c>
      <c r="FL38" s="389"/>
      <c r="FM38" s="389"/>
      <c r="FN38" s="389"/>
      <c r="FO38" s="389"/>
      <c r="FP38" s="389"/>
      <c r="FQ38" s="389"/>
      <c r="FR38" s="389"/>
      <c r="FS38" s="389"/>
      <c r="FT38" s="389"/>
      <c r="FU38" s="389"/>
      <c r="FV38" s="389"/>
    </row>
    <row r="39" spans="1:180">
      <c r="A39" s="104" t="s">
        <v>158</v>
      </c>
      <c r="B39" s="105" t="str">
        <f>'Input Sheet'!B36</f>
        <v>6:00-7:00 am</v>
      </c>
      <c r="C39" s="106" t="str">
        <f>IF('Input Sheet'!E53=0,"N/A",'Input Sheet'!E53)</f>
        <v>N/A</v>
      </c>
      <c r="D39" s="106" t="str">
        <f>IF('Input Sheet'!F53=0,"N/A",'Input Sheet'!F53)</f>
        <v>N/A</v>
      </c>
      <c r="E39" s="106">
        <f>IF(AND(C39="N/A",D39="N/A"),0,IF(C39&gt;D39,C39,D39))</f>
        <v>0</v>
      </c>
      <c r="F39" s="106"/>
      <c r="G39" s="106"/>
      <c r="H39" s="106"/>
      <c r="I39" s="106"/>
      <c r="J39" s="106"/>
      <c r="K39" s="106"/>
      <c r="L39" s="106"/>
      <c r="M39" s="106"/>
      <c r="N39" s="106"/>
      <c r="EI39" s="389" t="s">
        <v>256</v>
      </c>
      <c r="EJ39" s="389"/>
      <c r="EL39" s="389" t="s">
        <v>256</v>
      </c>
      <c r="EM39" s="389"/>
      <c r="EO39" s="389" t="s">
        <v>256</v>
      </c>
      <c r="EP39" s="389"/>
      <c r="ER39" s="389" t="s">
        <v>256</v>
      </c>
      <c r="ES39" s="389"/>
      <c r="FK39" s="389" t="s">
        <v>326</v>
      </c>
      <c r="FL39" s="389"/>
      <c r="FM39" s="389" t="s">
        <v>325</v>
      </c>
      <c r="FN39" s="389"/>
      <c r="FO39" s="389" t="s">
        <v>324</v>
      </c>
      <c r="FP39" s="389"/>
      <c r="FQ39" s="389" t="s">
        <v>323</v>
      </c>
      <c r="FR39" s="389"/>
      <c r="FS39" s="389" t="s">
        <v>322</v>
      </c>
      <c r="FT39" s="389"/>
      <c r="FU39" s="389" t="s">
        <v>321</v>
      </c>
      <c r="FV39" s="389"/>
    </row>
    <row r="40" spans="1:180">
      <c r="A40" s="104" t="s">
        <v>159</v>
      </c>
      <c r="B40" s="105" t="str">
        <f>'Input Sheet'!B37</f>
        <v>7:00-8:00 am</v>
      </c>
      <c r="C40" s="106" t="str">
        <f>IF('Input Sheet'!E54=0,"N/A",'Input Sheet'!E54)</f>
        <v>N/A</v>
      </c>
      <c r="D40" s="106" t="str">
        <f>IF('Input Sheet'!F54=0,"N/A",'Input Sheet'!F54)</f>
        <v>N/A</v>
      </c>
      <c r="E40" s="106">
        <f t="shared" ref="E40:E51" si="112">IF(AND(C40="N/A",D40="N/A"),0,IF(C40&gt;D40,C40,D40))</f>
        <v>0</v>
      </c>
      <c r="F40" s="106"/>
      <c r="G40" s="106"/>
      <c r="H40" s="106"/>
      <c r="I40" s="106"/>
      <c r="J40" s="106"/>
      <c r="K40" s="106"/>
      <c r="L40" s="106"/>
      <c r="M40" s="106"/>
      <c r="N40" s="106"/>
      <c r="AI40" s="61" t="s">
        <v>215</v>
      </c>
      <c r="AR40" s="61" t="s">
        <v>215</v>
      </c>
      <c r="BA40" s="61" t="s">
        <v>215</v>
      </c>
      <c r="BJ40" s="61" t="s">
        <v>215</v>
      </c>
      <c r="CG40" s="61" t="s">
        <v>240</v>
      </c>
      <c r="DB40" s="389" t="s">
        <v>151</v>
      </c>
      <c r="DC40" s="389"/>
      <c r="DD40" s="389"/>
      <c r="DE40" s="389"/>
      <c r="DF40" s="389"/>
      <c r="DJ40" s="389" t="s">
        <v>151</v>
      </c>
      <c r="DK40" s="389"/>
      <c r="DL40" s="389"/>
      <c r="DM40" s="389"/>
      <c r="DN40" s="389"/>
      <c r="DR40" s="389" t="s">
        <v>151</v>
      </c>
      <c r="DS40" s="389"/>
      <c r="DT40" s="389"/>
      <c r="DU40" s="389"/>
      <c r="DV40" s="389"/>
      <c r="DZ40" s="389" t="s">
        <v>151</v>
      </c>
      <c r="EA40" s="389"/>
      <c r="EB40" s="389"/>
      <c r="EC40" s="389"/>
      <c r="ED40" s="389"/>
      <c r="EI40" s="61" t="s">
        <v>156</v>
      </c>
      <c r="EJ40" s="105" t="s">
        <v>283</v>
      </c>
      <c r="EK40" s="123"/>
      <c r="EL40" s="61" t="s">
        <v>156</v>
      </c>
      <c r="EM40" s="105" t="s">
        <v>283</v>
      </c>
      <c r="EN40" s="123"/>
      <c r="EO40" s="61" t="s">
        <v>156</v>
      </c>
      <c r="EP40" s="105" t="s">
        <v>283</v>
      </c>
      <c r="EQ40" s="123"/>
      <c r="ER40" s="61" t="s">
        <v>156</v>
      </c>
      <c r="ES40" s="105" t="s">
        <v>283</v>
      </c>
      <c r="ET40" s="123"/>
      <c r="FK40" s="185"/>
      <c r="FL40" s="184" t="str">
        <f>IF('Wrnt 9 Input'!$C$11=1,IF($FK18&lt;FK$59,"N/A",IF($FK18&lt;FK$60,FL$59-($FK18-FK$59)/(FK$60-FK$59)*(FL$59-FL$60),IF($FK18&lt;FK$61,FL$60-($FK18-FK$60)/(FK$61-FK$60)*(FL$60-FL$61),25))),IF($FK18&lt;FK$73,"N/A",IF($FK18&lt;FK$74,FL$73-($FK18-FK$73)/(FK$74-FK$73)*(FL$73-FL$74),IF($FK18&lt;FK$75,FL$74-($FK18-FK$74)/(FK$75-FK$74)*(FL$74-FL$75),25))))</f>
        <v>N/A</v>
      </c>
      <c r="FM40" s="185"/>
      <c r="FN40" s="213" t="str">
        <f>IF('Wrnt 9 Input'!$C$11=1,IF($FK18&lt;FM$59,"N/A",IF($FK18&lt;FM$60,FN$59-($FK18-FM$59)/(FM$60-FM$59)*(FN$59-FN$60),IF($FK18&lt;FM$61,FN$60-($FK18-FM$60)/(FM$61-FM$60)*(FN$60-FN$61),25))),IF($FK18&lt;FM$73,"N/A",IF($FK18&lt;FM$74,FN$73-($FK18-FM$73)/(FM$74-FM$73)*(FN$73-FN$74),IF($FK18&lt;FM$75,FN$74-($FK18-FM$74)/(FM$75-FM$74)*(FN$74-FN$75),25))))</f>
        <v>N/A</v>
      </c>
      <c r="FO40" s="185"/>
      <c r="FP40" s="213" t="str">
        <f>IF('Wrnt 9 Input'!$C$11=1,IF($FK18&lt;FO$59,"N/A",IF($FK18&lt;FO$60,FP$59-($FK18-FO$59)/(FO$60-FO$59)*(FP$59-FP$60),IF($FK18&lt;FO$61,FP$60-($FK18-FO$60)/(FO$61-FO$60)*(FP$60-FP$61),IF($FK18&lt;FO$62,FP$61-($FK18-FO$61)/(FO$62-FO$61)*(FP$61-FP$62),IF($FK18&lt;FO$63,FP$62-($FK18-FO$62)/(FO$63-FO$62)*(FP$62-FP$63),25))))),IF($FK18&lt;FO$73,"N/A",IF($FK18&lt;FO$74,FP$73-($FK18-FO$73)/(FO$74-FO$73)*(FP$73-FP$74),IF($FK18&lt;FO$75,FP$74-($FK18-FO$74)/(FO$75-FO$74)*(FP$74-FP$75),IF($FK18&lt;FO$76,FP$75-($FK18-FO$75)/(FO$76-FO$75)*(FP$75-FP$76),25)))))</f>
        <v>N/A</v>
      </c>
      <c r="FQ40" s="185"/>
      <c r="FR40" s="213" t="str">
        <f>IF('Wrnt 9 Input'!$C$11=1,IF($FK18&lt;FQ$59,"N/A",IF($FK18&lt;FQ$60,FR$59-($FK18-FQ$59)/(FQ$60-FQ$59)*(FR$59-FR$60),IF($FK18&lt;FQ$61,FR$60-($FK18-FQ$60)/(FQ$61-FQ$60)*(FR$60-FR$61),IF($FK18&lt;FQ$62,FR$61-($FK18-FQ$61)/(FQ$62-FQ$61)*(FR$61-FR$62),IF($FK18&lt;FQ$63,FR$62-($FK18-FQ$62)/(FQ$63-FQ$62)*(FR$62-FR$63),25))))),IF($FK18&lt;FQ$73,"N/A",IF($FK18&lt;FQ$74,FR$73-($FK18-FQ$73)/(FQ$74-FQ$73)*(FR$73-FR$74),IF($FK18&lt;FQ$75,FR$74-($FK18-FQ$74)/(FQ$75-FQ$74)*(FR$74-FR$75),IF($FK18&lt;FQ$76,FR$75-($FK18-FQ$75)/(FQ$76-FQ$75)*(FR$75-FR$76),IF($FK18&lt;FQ$77,FR$76-($FK18-FQ$76)/(FQ$77-FQ$76)*(FR$76-FR$77),IF($FK18&lt;FQ$78,FR$77-($FK18-FQ$77)/(FQ$78-FQ$77)*(FR$77-FR$78),25)))))))</f>
        <v>N/A</v>
      </c>
      <c r="FS40" s="185"/>
      <c r="FT40" s="213" t="str">
        <f>IF('Wrnt 9 Input'!$C$11=1,IF($FK18&lt;FS$59,"N/A",IF($FK18&lt;FS$60,FT$59-($FK18-FS$59)/(FS$60-FS$59)*(FT$59-FT$60),IF($FK18&lt;FS$61,FT$60-($FK18-FS$60)/(FS$61-FS$60)*(FT$60-FT$61),IF($FK18&lt;FS$62,FT$61-($FK18-FS$61)/(FS$62-FS$61)*(FT$61-FT$62),IF($FK18&lt;FS$63,FT$62-($FK18-FS$62)/(FS$63-FS$62)*(FT$62-FT$63),25))))),IF($FK18&lt;FS$73,"N/A",IF($FK18&lt;FS$74,FT$73-($FK18-FS$73)/(FS$74-FS$73)*(FT$73-FT$74),IF($FK18&lt;FS$75,FT$74-($FK18-FS$74)/(FS$75-FS$74)*(FT$74-FT$75),IF($FK18&lt;FS$76,FT$75-($FK18-FS$75)/(FS$76-FS$75)*(FT$75-FT$76),IF($FK18&lt;FS$77,FT$76-($FK18-FS$76)/(FS$77-FS$76)*(FT$76-FT$77),25))))))</f>
        <v>N/A</v>
      </c>
      <c r="FU40" s="185"/>
      <c r="FV40" s="213" t="str">
        <f>IF('Wrnt 9 Input'!$C$11=1,IF($FK18&lt;FU$59,"N/A",IF($FK18&lt;FU$60,FV$59-($FK18-FU$59)/(FU$60-FU$59)*(FV$59-FV$60),IF($FK18&lt;FU$61,FV$60-($FK18-FU$60)/(FU$61-FU$60)*(FV$60-FV$61),IF($FK18&lt;FU$62,FV$61-($FK18-FU$61)/(FU$62-FU$61)*(FV$61-FV$62),25)))),IF($FK18&lt;FU$73,"N/A",IF($FK18&lt;FU$74,FV$73-($FK18-FU$73)/(FU$74-FU$73)*(FV$73-FV$74),IF($FK18&lt;FU$75,FV$74-($FK18-FU$74)/(FU$75-FU$74)*(FV$74-FV$75),IF($FK18&lt;FU$76,FV$75-($FK18-FU$75)/(FU$76-FU$75)*(FV$75-FV$76),IF($FK18&lt;FU$77,FV$76-($FK18-FU$76)/(FU$77-FU$76)*(FV$76-FV$77),IF($FK18&lt;FU$78,FV$77-($FK18-FU$77)/(FU$78-FU$77)*(FV$77-FV$78),IF($FK18&lt;FU$79,FV$78-($FK18-FU$78)/(FU$79-FU$78)*(FV$78-FV$79),25))))))))</f>
        <v>N/A</v>
      </c>
    </row>
    <row r="41" spans="1:180">
      <c r="A41" s="104" t="s">
        <v>79</v>
      </c>
      <c r="B41" s="105" t="str">
        <f>'Input Sheet'!B38</f>
        <v>8:00-9:00 am</v>
      </c>
      <c r="C41" s="106" t="str">
        <f>IF('Input Sheet'!E55=0,"N/A",'Input Sheet'!E55)</f>
        <v>N/A</v>
      </c>
      <c r="D41" s="106" t="str">
        <f>IF('Input Sheet'!F55=0,"N/A",'Input Sheet'!F55)</f>
        <v>N/A</v>
      </c>
      <c r="E41" s="106">
        <f t="shared" si="112"/>
        <v>0</v>
      </c>
      <c r="F41" s="106"/>
      <c r="G41" s="106"/>
      <c r="H41" s="106"/>
      <c r="I41" s="106"/>
      <c r="J41" s="106"/>
      <c r="K41" s="106"/>
      <c r="L41" s="106"/>
      <c r="M41" s="106"/>
      <c r="N41" s="106"/>
      <c r="AI41" s="61">
        <f>LARGE(AI18:AI30,8)</f>
        <v>-455</v>
      </c>
      <c r="AR41" s="61">
        <f>LARGE(AR18:AR30,8)</f>
        <v>-578</v>
      </c>
      <c r="BA41" s="61">
        <f>LARGE(BA18:BA30,8)</f>
        <v>-364</v>
      </c>
      <c r="BJ41" s="61">
        <f>LARGE(BJ18:BJ30,8)</f>
        <v>-462</v>
      </c>
      <c r="CG41" s="61" t="s">
        <v>241</v>
      </c>
      <c r="DB41" s="61" t="s">
        <v>257</v>
      </c>
      <c r="DJ41" s="61" t="s">
        <v>257</v>
      </c>
      <c r="DR41" s="61" t="s">
        <v>257</v>
      </c>
      <c r="DZ41" s="61" t="s">
        <v>257</v>
      </c>
      <c r="EI41" s="61" t="s">
        <v>258</v>
      </c>
      <c r="EJ41" s="61" t="s">
        <v>257</v>
      </c>
      <c r="EL41" s="61" t="s">
        <v>258</v>
      </c>
      <c r="EM41" s="61" t="s">
        <v>257</v>
      </c>
      <c r="EO41" s="61" t="s">
        <v>258</v>
      </c>
      <c r="EP41" s="61" t="s">
        <v>257</v>
      </c>
      <c r="ER41" s="61" t="s">
        <v>258</v>
      </c>
      <c r="ES41" s="61" t="s">
        <v>257</v>
      </c>
      <c r="EZ41" s="31"/>
      <c r="FK41" s="185"/>
      <c r="FL41" s="213" t="str">
        <f>IF('Wrnt 9 Input'!$C$11=1,IF($FK19&lt;FK$59,"N/A",IF($FK19&lt;FK$60,FL$59-($FK19-FK$59)/(FK$60-FK$59)*(FL$59-FL$60),IF($FK19&lt;FK$61,FL$60-($FK19-FK$60)/(FK$61-FK$60)*(FL$60-FL$61),25))),IF($FK19&lt;FK$73,"N/A",IF($FK19&lt;FK$74,FL$73-($FK19-FK$73)/(FK$74-FK$73)*(FL$73-FL$74),IF($FK19&lt;FK$75,FL$74-($FK19-FK$74)/(FK$75-FK$74)*(FL$74-FL$75),25))))</f>
        <v>N/A</v>
      </c>
      <c r="FM41" s="185"/>
      <c r="FN41" s="213" t="str">
        <f>IF('Wrnt 9 Input'!$C$11=1,IF($FK19&lt;FM$59,"N/A",IF($FK19&lt;FM$60,FN$59-($FK19-FM$59)/(FM$60-FM$59)*(FN$59-FN$60),IF($FK19&lt;FM$61,FN$60-($FK19-FM$60)/(FM$61-FM$60)*(FN$60-FN$61),25))),IF($FK19&lt;FM$73,"N/A",IF($FK19&lt;FM$74,FN$73-($FK19-FM$73)/(FM$74-FM$73)*(FN$73-FN$74),IF($FK19&lt;FM$75,FN$74-($FK19-FM$74)/(FM$75-FM$74)*(FN$74-FN$75),25))))</f>
        <v>N/A</v>
      </c>
      <c r="FO41" s="185"/>
      <c r="FP41" s="213" t="str">
        <f>IF('Wrnt 9 Input'!$C$11=1,IF($FK19&lt;FO$59,"N/A",IF($FK19&lt;FO$60,FP$59-($FK19-FO$59)/(FO$60-FO$59)*(FP$59-FP$60),IF($FK19&lt;FO$61,FP$60-($FK19-FO$60)/(FO$61-FO$60)*(FP$60-FP$61),IF($FK19&lt;FO$62,FP$61-($FK19-FO$61)/(FO$62-FO$61)*(FP$61-FP$62),IF($FK19&lt;FO$63,FP$62-($FK19-FO$62)/(FO$63-FO$62)*(FP$62-FP$63),25))))),IF($FK19&lt;FO$73,"N/A",IF($FK19&lt;FO$74,FP$73-($FK19-FO$73)/(FO$74-FO$73)*(FP$73-FP$74),IF($FK19&lt;FO$75,FP$74-($FK19-FO$74)/(FO$75-FO$74)*(FP$74-FP$75),IF($FK19&lt;FO$76,FP$75-($FK19-FO$75)/(FO$76-FO$75)*(FP$75-FP$76),25)))))</f>
        <v>N/A</v>
      </c>
      <c r="FQ41" s="185"/>
      <c r="FR41" s="213" t="str">
        <f>IF('Wrnt 9 Input'!$C$11=1,IF($FK19&lt;FQ$59,"N/A",IF($FK19&lt;FQ$60,FR$59-($FK19-FQ$59)/(FQ$60-FQ$59)*(FR$59-FR$60),IF($FK19&lt;FQ$61,FR$60-($FK19-FQ$60)/(FQ$61-FQ$60)*(FR$60-FR$61),IF($FK19&lt;FQ$62,FR$61-($FK19-FQ$61)/(FQ$62-FQ$61)*(FR$61-FR$62),IF($FK19&lt;FQ$63,FR$62-($FK19-FQ$62)/(FQ$63-FQ$62)*(FR$62-FR$63),25))))),IF($FK19&lt;FQ$73,"N/A",IF($FK19&lt;FQ$74,FR$73-($FK19-FQ$73)/(FQ$74-FQ$73)*(FR$73-FR$74),IF($FK19&lt;FQ$75,FR$74-($FK19-FQ$74)/(FQ$75-FQ$74)*(FR$74-FR$75),IF($FK19&lt;FQ$76,FR$75-($FK19-FQ$75)/(FQ$76-FQ$75)*(FR$75-FR$76),IF($FK19&lt;FQ$77,FR$76-($FK19-FQ$76)/(FQ$77-FQ$76)*(FR$76-FR$77),IF($FK19&lt;FQ$78,FR$77-($FK19-FQ$77)/(FQ$78-FQ$77)*(FR$77-FR$78),25)))))))</f>
        <v>N/A</v>
      </c>
      <c r="FS41" s="185"/>
      <c r="FT41" s="213" t="str">
        <f>IF('Wrnt 9 Input'!$C$11=1,IF($FK19&lt;FS$59,"N/A",IF($FK19&lt;FS$60,FT$59-($FK19-FS$59)/(FS$60-FS$59)*(FT$59-FT$60),IF($FK19&lt;FS$61,FT$60-($FK19-FS$60)/(FS$61-FS$60)*(FT$60-FT$61),IF($FK19&lt;FS$62,FT$61-($FK19-FS$61)/(FS$62-FS$61)*(FT$61-FT$62),IF($FK19&lt;FS$63,FT$62-($FK19-FS$62)/(FS$63-FS$62)*(FT$62-FT$63),25))))),IF($FK19&lt;FS$73,"N/A",IF($FK19&lt;FS$74,FT$73-($FK19-FS$73)/(FS$74-FS$73)*(FT$73-FT$74),IF($FK19&lt;FS$75,FT$74-($FK19-FS$74)/(FS$75-FS$74)*(FT$74-FT$75),IF($FK19&lt;FS$76,FT$75-($FK19-FS$75)/(FS$76-FS$75)*(FT$75-FT$76),IF($FK19&lt;FS$77,FT$76-($FK19-FS$76)/(FS$77-FS$76)*(FT$76-FT$77),25))))))</f>
        <v>N/A</v>
      </c>
      <c r="FU41" s="185"/>
      <c r="FV41" s="213" t="str">
        <f>IF('Wrnt 9 Input'!$C$11=1,IF($FK19&lt;FU$59,"N/A",IF($FK19&lt;FU$60,FV$59-($FK19-FU$59)/(FU$60-FU$59)*(FV$59-FV$60),IF($FK19&lt;FU$61,FV$60-($FK19-FU$60)/(FU$61-FU$60)*(FV$60-FV$61),IF($FK19&lt;FU$62,FV$61-($FK19-FU$61)/(FU$62-FU$61)*(FV$61-FV$62),25)))),IF($FK19&lt;FU$73,"N/A",IF($FK19&lt;FU$74,FV$73-($FK19-FU$73)/(FU$74-FU$73)*(FV$73-FV$74),IF($FK19&lt;FU$75,FV$74-($FK19-FU$74)/(FU$75-FU$74)*(FV$74-FV$75),IF($FK19&lt;FU$76,FV$75-($FK19-FU$75)/(FU$76-FU$75)*(FV$75-FV$76),IF($FK19&lt;FU$77,FV$76-($FK19-FU$76)/(FU$77-FU$76)*(FV$76-FV$77),IF($FK19&lt;FU$78,FV$77-($FK19-FU$77)/(FU$78-FU$77)*(FV$77-FV$78),IF($FK19&lt;FU$79,FV$78-($FK19-FU$78)/(FU$79-FU$78)*(FV$78-FV$79),25))))))))</f>
        <v>N/A</v>
      </c>
    </row>
    <row r="42" spans="1:180">
      <c r="A42" s="104" t="s">
        <v>160</v>
      </c>
      <c r="B42" s="105" t="str">
        <f>'Input Sheet'!B39</f>
        <v>9:00-10:00 am</v>
      </c>
      <c r="C42" s="106" t="str">
        <f>IF('Input Sheet'!E56=0,"N/A",'Input Sheet'!E56)</f>
        <v>N/A</v>
      </c>
      <c r="D42" s="106" t="str">
        <f>IF('Input Sheet'!F56=0,"N/A",'Input Sheet'!F56)</f>
        <v>N/A</v>
      </c>
      <c r="E42" s="106">
        <f t="shared" si="112"/>
        <v>0</v>
      </c>
      <c r="F42" s="106"/>
      <c r="G42" s="106"/>
      <c r="H42" s="106"/>
      <c r="I42" s="106"/>
      <c r="J42" s="106"/>
      <c r="K42" s="106"/>
      <c r="L42" s="106"/>
      <c r="M42" s="106"/>
      <c r="N42" s="106"/>
      <c r="CG42" s="61">
        <f>COUNTIF(CH18:CH30,"&gt;0")</f>
        <v>0</v>
      </c>
      <c r="CZ42" s="61" t="s">
        <v>156</v>
      </c>
      <c r="DB42" s="61" t="s">
        <v>153</v>
      </c>
      <c r="DD42" s="61" t="s">
        <v>154</v>
      </c>
      <c r="DF42" s="61" t="s">
        <v>155</v>
      </c>
      <c r="DH42" s="61" t="s">
        <v>156</v>
      </c>
      <c r="DJ42" s="61" t="s">
        <v>153</v>
      </c>
      <c r="DL42" s="61" t="s">
        <v>154</v>
      </c>
      <c r="DN42" s="61" t="s">
        <v>155</v>
      </c>
      <c r="DP42" s="61" t="s">
        <v>156</v>
      </c>
      <c r="DR42" s="61" t="s">
        <v>153</v>
      </c>
      <c r="DT42" s="61" t="s">
        <v>154</v>
      </c>
      <c r="DV42" s="61" t="s">
        <v>155</v>
      </c>
      <c r="DX42" s="61" t="s">
        <v>156</v>
      </c>
      <c r="DZ42" s="61" t="s">
        <v>153</v>
      </c>
      <c r="EB42" s="61" t="s">
        <v>154</v>
      </c>
      <c r="ED42" s="61" t="s">
        <v>155</v>
      </c>
      <c r="EI42" s="61">
        <v>300</v>
      </c>
      <c r="EJ42"/>
      <c r="EK42"/>
      <c r="EL42"/>
      <c r="EM42"/>
      <c r="EN42"/>
      <c r="EO42" s="61">
        <v>300</v>
      </c>
      <c r="EP42"/>
      <c r="EQ42"/>
      <c r="ER42"/>
      <c r="ES42"/>
      <c r="ET42"/>
      <c r="FK42" s="185"/>
      <c r="FL42" s="213" t="str">
        <f>IF('Wrnt 9 Input'!$C$11=1,IF($FK20&lt;FK$59,"N/A",IF($FK20&lt;FK$60,FL$59-($FK20-FK$59)/(FK$60-FK$59)*(FL$59-FL$60),IF($FK20&lt;FK$61,FL$60-($FK20-FK$60)/(FK$61-FK$60)*(FL$60-FL$61),25))),IF($FK20&lt;FK$73,"N/A",IF($FK20&lt;FK$74,FL$73-($FK20-FK$73)/(FK$74-FK$73)*(FL$73-FL$74),IF($FK20&lt;FK$75,FL$74-($FK20-FK$74)/(FK$75-FK$74)*(FL$74-FL$75),25))))</f>
        <v>N/A</v>
      </c>
      <c r="FM42" s="185"/>
      <c r="FN42" s="213" t="str">
        <f>IF('Wrnt 9 Input'!$C$11=1,IF($FK20&lt;FM$59,"N/A",IF($FK20&lt;FM$60,FN$59-($FK20-FM$59)/(FM$60-FM$59)*(FN$59-FN$60),IF($FK20&lt;FM$61,FN$60-($FK20-FM$60)/(FM$61-FM$60)*(FN$60-FN$61),25))),IF($FK20&lt;FM$73,"N/A",IF($FK20&lt;FM$74,FN$73-($FK20-FM$73)/(FM$74-FM$73)*(FN$73-FN$74),IF($FK20&lt;FM$75,FN$74-($FK20-FM$74)/(FM$75-FM$74)*(FN$74-FN$75),25))))</f>
        <v>N/A</v>
      </c>
      <c r="FO42" s="185"/>
      <c r="FP42" s="213" t="str">
        <f>IF('Wrnt 9 Input'!$C$11=1,IF($FK20&lt;FO$59,"N/A",IF($FK20&lt;FO$60,FP$59-($FK20-FO$59)/(FO$60-FO$59)*(FP$59-FP$60),IF($FK20&lt;FO$61,FP$60-($FK20-FO$60)/(FO$61-FO$60)*(FP$60-FP$61),IF($FK20&lt;FO$62,FP$61-($FK20-FO$61)/(FO$62-FO$61)*(FP$61-FP$62),IF($FK20&lt;FO$63,FP$62-($FK20-FO$62)/(FO$63-FO$62)*(FP$62-FP$63),25))))),IF($FK20&lt;FO$73,"N/A",IF($FK20&lt;FO$74,FP$73-($FK20-FO$73)/(FO$74-FO$73)*(FP$73-FP$74),IF($FK20&lt;FO$75,FP$74-($FK20-FO$74)/(FO$75-FO$74)*(FP$74-FP$75),IF($FK20&lt;FO$76,FP$75-($FK20-FO$75)/(FO$76-FO$75)*(FP$75-FP$76),25)))))</f>
        <v>N/A</v>
      </c>
      <c r="FQ42" s="185"/>
      <c r="FR42" s="213" t="str">
        <f>IF('Wrnt 9 Input'!$C$11=1,IF($FK20&lt;FQ$59,"N/A",IF($FK20&lt;FQ$60,FR$59-($FK20-FQ$59)/(FQ$60-FQ$59)*(FR$59-FR$60),IF($FK20&lt;FQ$61,FR$60-($FK20-FQ$60)/(FQ$61-FQ$60)*(FR$60-FR$61),IF($FK20&lt;FQ$62,FR$61-($FK20-FQ$61)/(FQ$62-FQ$61)*(FR$61-FR$62),IF($FK20&lt;FQ$63,FR$62-($FK20-FQ$62)/(FQ$63-FQ$62)*(FR$62-FR$63),25))))),IF($FK20&lt;FQ$73,"N/A",IF($FK20&lt;FQ$74,FR$73-($FK20-FQ$73)/(FQ$74-FQ$73)*(FR$73-FR$74),IF($FK20&lt;FQ$75,FR$74-($FK20-FQ$74)/(FQ$75-FQ$74)*(FR$74-FR$75),IF($FK20&lt;FQ$76,FR$75-($FK20-FQ$75)/(FQ$76-FQ$75)*(FR$75-FR$76),IF($FK20&lt;FQ$77,FR$76-($FK20-FQ$76)/(FQ$77-FQ$76)*(FR$76-FR$77),IF($FK20&lt;FQ$78,FR$77-($FK20-FQ$77)/(FQ$78-FQ$77)*(FR$77-FR$78),25)))))))</f>
        <v>N/A</v>
      </c>
      <c r="FS42" s="185"/>
      <c r="FT42" s="213" t="str">
        <f>IF('Wrnt 9 Input'!$C$11=1,IF($FK20&lt;FS$59,"N/A",IF($FK20&lt;FS$60,FT$59-($FK20-FS$59)/(FS$60-FS$59)*(FT$59-FT$60),IF($FK20&lt;FS$61,FT$60-($FK20-FS$60)/(FS$61-FS$60)*(FT$60-FT$61),IF($FK20&lt;FS$62,FT$61-($FK20-FS$61)/(FS$62-FS$61)*(FT$61-FT$62),IF($FK20&lt;FS$63,FT$62-($FK20-FS$62)/(FS$63-FS$62)*(FT$62-FT$63),25))))),IF($FK20&lt;FS$73,"N/A",IF($FK20&lt;FS$74,FT$73-($FK20-FS$73)/(FS$74-FS$73)*(FT$73-FT$74),IF($FK20&lt;FS$75,FT$74-($FK20-FS$74)/(FS$75-FS$74)*(FT$74-FT$75),IF($FK20&lt;FS$76,FT$75-($FK20-FS$75)/(FS$76-FS$75)*(FT$75-FT$76),IF($FK20&lt;FS$77,FT$76-($FK20-FS$76)/(FS$77-FS$76)*(FT$76-FT$77),25))))))</f>
        <v>N/A</v>
      </c>
      <c r="FU42" s="185"/>
      <c r="FV42" s="213" t="str">
        <f>IF('Wrnt 9 Input'!$C$11=1,IF($FK20&lt;FU$59,"N/A",IF($FK20&lt;FU$60,FV$59-($FK20-FU$59)/(FU$60-FU$59)*(FV$59-FV$60),IF($FK20&lt;FU$61,FV$60-($FK20-FU$60)/(FU$61-FU$60)*(FV$60-FV$61),IF($FK20&lt;FU$62,FV$61-($FK20-FU$61)/(FU$62-FU$61)*(FV$61-FV$62),25)))),IF($FK20&lt;FU$73,"N/A",IF($FK20&lt;FU$74,FV$73-($FK20-FU$73)/(FU$74-FU$73)*(FV$73-FV$74),IF($FK20&lt;FU$75,FV$74-($FK20-FU$74)/(FU$75-FU$74)*(FV$74-FV$75),IF($FK20&lt;FU$76,FV$75-($FK20-FU$75)/(FU$76-FU$75)*(FV$75-FV$76),IF($FK20&lt;FU$77,FV$76-($FK20-FU$76)/(FU$77-FU$76)*(FV$76-FV$77),IF($FK20&lt;FU$78,FV$77-($FK20-FU$77)/(FU$78-FU$77)*(FV$77-FV$78),IF($FK20&lt;FU$79,FV$78-($FK20-FU$78)/(FU$79-FU$78)*(FV$78-FV$79),25))))))))</f>
        <v>N/A</v>
      </c>
    </row>
    <row r="43" spans="1:180">
      <c r="A43" s="104" t="s">
        <v>161</v>
      </c>
      <c r="B43" s="105" t="str">
        <f>'Input Sheet'!B40</f>
        <v>10:00-11:00 am</v>
      </c>
      <c r="C43" s="106" t="str">
        <f>IF('Input Sheet'!E57=0,"N/A",'Input Sheet'!E57)</f>
        <v>N/A</v>
      </c>
      <c r="D43" s="106" t="str">
        <f>IF('Input Sheet'!F57=0,"N/A",'Input Sheet'!F57)</f>
        <v>N/A</v>
      </c>
      <c r="E43" s="106">
        <f t="shared" si="112"/>
        <v>0</v>
      </c>
      <c r="F43" s="106"/>
      <c r="G43" s="106"/>
      <c r="H43" s="106"/>
      <c r="I43" s="106"/>
      <c r="J43" s="106"/>
      <c r="K43" s="106"/>
      <c r="L43" s="106"/>
      <c r="M43" s="106"/>
      <c r="N43" s="106"/>
      <c r="CZ43" s="61" t="s">
        <v>258</v>
      </c>
      <c r="DB43" s="61" t="s">
        <v>259</v>
      </c>
      <c r="DD43" s="61" t="s">
        <v>259</v>
      </c>
      <c r="DF43" s="61" t="s">
        <v>259</v>
      </c>
      <c r="DH43" s="61" t="s">
        <v>258</v>
      </c>
      <c r="DJ43" s="61" t="s">
        <v>259</v>
      </c>
      <c r="DL43" s="61" t="s">
        <v>259</v>
      </c>
      <c r="DN43" s="61" t="s">
        <v>259</v>
      </c>
      <c r="DP43" s="61" t="s">
        <v>258</v>
      </c>
      <c r="DR43" s="61" t="s">
        <v>259</v>
      </c>
      <c r="DT43" s="61" t="s">
        <v>259</v>
      </c>
      <c r="DV43" s="61" t="s">
        <v>259</v>
      </c>
      <c r="DX43" s="61" t="s">
        <v>258</v>
      </c>
      <c r="DZ43" s="61" t="s">
        <v>259</v>
      </c>
      <c r="EB43" s="61" t="s">
        <v>259</v>
      </c>
      <c r="ED43" s="61" t="s">
        <v>259</v>
      </c>
      <c r="EI43" s="61">
        <v>400</v>
      </c>
      <c r="EJ43" s="61">
        <v>412</v>
      </c>
      <c r="EL43" s="61">
        <v>200</v>
      </c>
      <c r="EO43" s="61">
        <v>400</v>
      </c>
      <c r="EP43" s="61">
        <v>647</v>
      </c>
      <c r="ER43" s="61">
        <v>200</v>
      </c>
      <c r="FK43" s="185"/>
      <c r="FL43" s="213" t="str">
        <f>IF('Wrnt 9 Input'!$C$11=1,IF($FK21&lt;FK$59,"N/A",IF($FK21&lt;FK$60,FL$59-($FK21-FK$59)/(FK$60-FK$59)*(FL$59-FL$60),IF($FK21&lt;FK$61,FL$60-($FK21-FK$60)/(FK$61-FK$60)*(FL$60-FL$61),25))),IF($FK21&lt;FK$73,"N/A",IF($FK21&lt;FK$74,FL$73-($FK21-FK$73)/(FK$74-FK$73)*(FL$73-FL$74),IF($FK21&lt;FK$75,FL$74-($FK21-FK$74)/(FK$75-FK$74)*(FL$74-FL$75),25))))</f>
        <v>N/A</v>
      </c>
      <c r="FM43" s="185"/>
      <c r="FN43" s="213" t="str">
        <f>IF('Wrnt 9 Input'!$C$11=1,IF($FK21&lt;FM$59,"N/A",IF($FK21&lt;FM$60,FN$59-($FK21-FM$59)/(FM$60-FM$59)*(FN$59-FN$60),IF($FK21&lt;FM$61,FN$60-($FK21-FM$60)/(FM$61-FM$60)*(FN$60-FN$61),25))),IF($FK21&lt;FM$73,"N/A",IF($FK21&lt;FM$74,FN$73-($FK21-FM$73)/(FM$74-FM$73)*(FN$73-FN$74),IF($FK21&lt;FM$75,FN$74-($FK21-FM$74)/(FM$75-FM$74)*(FN$74-FN$75),25))))</f>
        <v>N/A</v>
      </c>
      <c r="FO43" s="185"/>
      <c r="FP43" s="213" t="str">
        <f>IF('Wrnt 9 Input'!$C$11=1,IF($FK21&lt;FO$59,"N/A",IF($FK21&lt;FO$60,FP$59-($FK21-FO$59)/(FO$60-FO$59)*(FP$59-FP$60),IF($FK21&lt;FO$61,FP$60-($FK21-FO$60)/(FO$61-FO$60)*(FP$60-FP$61),IF($FK21&lt;FO$62,FP$61-($FK21-FO$61)/(FO$62-FO$61)*(FP$61-FP$62),IF($FK21&lt;FO$63,FP$62-($FK21-FO$62)/(FO$63-FO$62)*(FP$62-FP$63),25))))),IF($FK21&lt;FO$73,"N/A",IF($FK21&lt;FO$74,FP$73-($FK21-FO$73)/(FO$74-FO$73)*(FP$73-FP$74),IF($FK21&lt;FO$75,FP$74-($FK21-FO$74)/(FO$75-FO$74)*(FP$74-FP$75),IF($FK21&lt;FO$76,FP$75-($FK21-FO$75)/(FO$76-FO$75)*(FP$75-FP$76),25)))))</f>
        <v>N/A</v>
      </c>
      <c r="FQ43" s="185"/>
      <c r="FR43" s="213" t="str">
        <f>IF('Wrnt 9 Input'!$C$11=1,IF($FK21&lt;FQ$59,"N/A",IF($FK21&lt;FQ$60,FR$59-($FK21-FQ$59)/(FQ$60-FQ$59)*(FR$59-FR$60),IF($FK21&lt;FQ$61,FR$60-($FK21-FQ$60)/(FQ$61-FQ$60)*(FR$60-FR$61),IF($FK21&lt;FQ$62,FR$61-($FK21-FQ$61)/(FQ$62-FQ$61)*(FR$61-FR$62),IF($FK21&lt;FQ$63,FR$62-($FK21-FQ$62)/(FQ$63-FQ$62)*(FR$62-FR$63),25))))),IF($FK21&lt;FQ$73,"N/A",IF($FK21&lt;FQ$74,FR$73-($FK21-FQ$73)/(FQ$74-FQ$73)*(FR$73-FR$74),IF($FK21&lt;FQ$75,FR$74-($FK21-FQ$74)/(FQ$75-FQ$74)*(FR$74-FR$75),IF($FK21&lt;FQ$76,FR$75-($FK21-FQ$75)/(FQ$76-FQ$75)*(FR$75-FR$76),IF($FK21&lt;FQ$77,FR$76-($FK21-FQ$76)/(FQ$77-FQ$76)*(FR$76-FR$77),IF($FK21&lt;FQ$78,FR$77-($FK21-FQ$77)/(FQ$78-FQ$77)*(FR$77-FR$78),25)))))))</f>
        <v>N/A</v>
      </c>
      <c r="FS43" s="185"/>
      <c r="FT43" s="213" t="str">
        <f>IF('Wrnt 9 Input'!$C$11=1,IF($FK21&lt;FS$59,"N/A",IF($FK21&lt;FS$60,FT$59-($FK21-FS$59)/(FS$60-FS$59)*(FT$59-FT$60),IF($FK21&lt;FS$61,FT$60-($FK21-FS$60)/(FS$61-FS$60)*(FT$60-FT$61),IF($FK21&lt;FS$62,FT$61-($FK21-FS$61)/(FS$62-FS$61)*(FT$61-FT$62),IF($FK21&lt;FS$63,FT$62-($FK21-FS$62)/(FS$63-FS$62)*(FT$62-FT$63),25))))),IF($FK21&lt;FS$73,"N/A",IF($FK21&lt;FS$74,FT$73-($FK21-FS$73)/(FS$74-FS$73)*(FT$73-FT$74),IF($FK21&lt;FS$75,FT$74-($FK21-FS$74)/(FS$75-FS$74)*(FT$74-FT$75),IF($FK21&lt;FS$76,FT$75-($FK21-FS$75)/(FS$76-FS$75)*(FT$75-FT$76),IF($FK21&lt;FS$77,FT$76-($FK21-FS$76)/(FS$77-FS$76)*(FT$76-FT$77),25))))))</f>
        <v>N/A</v>
      </c>
      <c r="FU43" s="185"/>
      <c r="FV43" s="213" t="str">
        <f>IF('Wrnt 9 Input'!$C$11=1,IF($FK21&lt;FU$59,"N/A",IF($FK21&lt;FU$60,FV$59-($FK21-FU$59)/(FU$60-FU$59)*(FV$59-FV$60),IF($FK21&lt;FU$61,FV$60-($FK21-FU$60)/(FU$61-FU$60)*(FV$60-FV$61),IF($FK21&lt;FU$62,FV$61-($FK21-FU$61)/(FU$62-FU$61)*(FV$61-FV$62),25)))),IF($FK21&lt;FU$73,"N/A",IF($FK21&lt;FU$74,FV$73-($FK21-FU$73)/(FU$74-FU$73)*(FV$73-FV$74),IF($FK21&lt;FU$75,FV$74-($FK21-FU$74)/(FU$75-FU$74)*(FV$74-FV$75),IF($FK21&lt;FU$76,FV$75-($FK21-FU$75)/(FU$76-FU$75)*(FV$75-FV$76),IF($FK21&lt;FU$77,FV$76-($FK21-FU$76)/(FU$77-FU$76)*(FV$76-FV$77),IF($FK21&lt;FU$78,FV$77-($FK21-FU$77)/(FU$78-FU$77)*(FV$77-FV$78),IF($FK21&lt;FU$79,FV$78-($FK21-FU$78)/(FU$79-FU$78)*(FV$78-FV$79),25))))))))</f>
        <v>N/A</v>
      </c>
    </row>
    <row r="44" spans="1:180">
      <c r="A44" s="104" t="s">
        <v>92</v>
      </c>
      <c r="B44" s="105" t="str">
        <f>'Input Sheet'!B41</f>
        <v>11:00-12:00 n</v>
      </c>
      <c r="C44" s="106" t="str">
        <f>IF('Input Sheet'!E58=0,"N/A",'Input Sheet'!E58)</f>
        <v>N/A</v>
      </c>
      <c r="D44" s="106" t="str">
        <f>IF('Input Sheet'!F58=0,"N/A",'Input Sheet'!F58)</f>
        <v>N/A</v>
      </c>
      <c r="E44" s="106">
        <f t="shared" si="112"/>
        <v>0</v>
      </c>
      <c r="F44" s="106"/>
      <c r="G44" s="106"/>
      <c r="H44" s="106"/>
      <c r="I44" s="106"/>
      <c r="J44" s="106"/>
      <c r="K44" s="106"/>
      <c r="L44" s="106"/>
      <c r="M44" s="106"/>
      <c r="N44" s="106"/>
      <c r="CZ44" s="61">
        <v>200</v>
      </c>
      <c r="DH44" s="61">
        <v>200</v>
      </c>
      <c r="DP44" s="61">
        <v>200</v>
      </c>
      <c r="DX44" s="61">
        <v>200</v>
      </c>
      <c r="EI44" s="61">
        <v>500</v>
      </c>
      <c r="EJ44" s="61">
        <v>346</v>
      </c>
      <c r="EL44" s="61">
        <v>300</v>
      </c>
      <c r="EM44" s="61">
        <v>270</v>
      </c>
      <c r="EO44" s="61">
        <v>500</v>
      </c>
      <c r="EP44" s="61">
        <v>568</v>
      </c>
      <c r="ER44" s="61">
        <v>300</v>
      </c>
      <c r="ES44" s="61">
        <v>413</v>
      </c>
      <c r="FK44" s="185"/>
      <c r="FL44" s="213" t="str">
        <f>IF('Wrnt 9 Input'!$C$11=1,IF($FK22&lt;FK$59,"N/A",IF($FK22&lt;FK$60,FL$59-($FK22-FK$59)/(FK$60-FK$59)*(FL$59-FL$60),IF($FK22&lt;FK$61,FL$60-($FK22-FK$60)/(FK$61-FK$60)*(FL$60-FL$61),25))),IF($FK22&lt;FK$73,"N/A",IF($FK22&lt;FK$74,FL$73-($FK22-FK$73)/(FK$74-FK$73)*(FL$73-FL$74),IF($FK22&lt;FK$75,FL$74-($FK22-FK$74)/(FK$75-FK$74)*(FL$74-FL$75),25))))</f>
        <v>N/A</v>
      </c>
      <c r="FM44" s="185"/>
      <c r="FN44" s="213" t="str">
        <f>IF('Wrnt 9 Input'!$C$11=1,IF($FK22&lt;FM$59,"N/A",IF($FK22&lt;FM$60,FN$59-($FK22-FM$59)/(FM$60-FM$59)*(FN$59-FN$60),IF($FK22&lt;FM$61,FN$60-($FK22-FM$60)/(FM$61-FM$60)*(FN$60-FN$61),25))),IF($FK22&lt;FM$73,"N/A",IF($FK22&lt;FM$74,FN$73-($FK22-FM$73)/(FM$74-FM$73)*(FN$73-FN$74),IF($FK22&lt;FM$75,FN$74-($FK22-FM$74)/(FM$75-FM$74)*(FN$74-FN$75),25))))</f>
        <v>N/A</v>
      </c>
      <c r="FO44" s="185"/>
      <c r="FP44" s="213" t="str">
        <f>IF('Wrnt 9 Input'!$C$11=1,IF($FK22&lt;FO$59,"N/A",IF($FK22&lt;FO$60,FP$59-($FK22-FO$59)/(FO$60-FO$59)*(FP$59-FP$60),IF($FK22&lt;FO$61,FP$60-($FK22-FO$60)/(FO$61-FO$60)*(FP$60-FP$61),IF($FK22&lt;FO$62,FP$61-($FK22-FO$61)/(FO$62-FO$61)*(FP$61-FP$62),IF($FK22&lt;FO$63,FP$62-($FK22-FO$62)/(FO$63-FO$62)*(FP$62-FP$63),25))))),IF($FK22&lt;FO$73,"N/A",IF($FK22&lt;FO$74,FP$73-($FK22-FO$73)/(FO$74-FO$73)*(FP$73-FP$74),IF($FK22&lt;FO$75,FP$74-($FK22-FO$74)/(FO$75-FO$74)*(FP$74-FP$75),IF($FK22&lt;FO$76,FP$75-($FK22-FO$75)/(FO$76-FO$75)*(FP$75-FP$76),25)))))</f>
        <v>N/A</v>
      </c>
      <c r="FQ44" s="185"/>
      <c r="FR44" s="213" t="str">
        <f>IF('Wrnt 9 Input'!$C$11=1,IF($FK22&lt;FQ$59,"N/A",IF($FK22&lt;FQ$60,FR$59-($FK22-FQ$59)/(FQ$60-FQ$59)*(FR$59-FR$60),IF($FK22&lt;FQ$61,FR$60-($FK22-FQ$60)/(FQ$61-FQ$60)*(FR$60-FR$61),IF($FK22&lt;FQ$62,FR$61-($FK22-FQ$61)/(FQ$62-FQ$61)*(FR$61-FR$62),IF($FK22&lt;FQ$63,FR$62-($FK22-FQ$62)/(FQ$63-FQ$62)*(FR$62-FR$63),25))))),IF($FK22&lt;FQ$73,"N/A",IF($FK22&lt;FQ$74,FR$73-($FK22-FQ$73)/(FQ$74-FQ$73)*(FR$73-FR$74),IF($FK22&lt;FQ$75,FR$74-($FK22-FQ$74)/(FQ$75-FQ$74)*(FR$74-FR$75),IF($FK22&lt;FQ$76,FR$75-($FK22-FQ$75)/(FQ$76-FQ$75)*(FR$75-FR$76),IF($FK22&lt;FQ$77,FR$76-($FK22-FQ$76)/(FQ$77-FQ$76)*(FR$76-FR$77),IF($FK22&lt;FQ$78,FR$77-($FK22-FQ$77)/(FQ$78-FQ$77)*(FR$77-FR$78),25)))))))</f>
        <v>N/A</v>
      </c>
      <c r="FS44" s="185"/>
      <c r="FT44" s="213" t="str">
        <f>IF('Wrnt 9 Input'!$C$11=1,IF($FK22&lt;FS$59,"N/A",IF($FK22&lt;FS$60,FT$59-($FK22-FS$59)/(FS$60-FS$59)*(FT$59-FT$60),IF($FK22&lt;FS$61,FT$60-($FK22-FS$60)/(FS$61-FS$60)*(FT$60-FT$61),IF($FK22&lt;FS$62,FT$61-($FK22-FS$61)/(FS$62-FS$61)*(FT$61-FT$62),IF($FK22&lt;FS$63,FT$62-($FK22-FS$62)/(FS$63-FS$62)*(FT$62-FT$63),25))))),IF($FK22&lt;FS$73,"N/A",IF($FK22&lt;FS$74,FT$73-($FK22-FS$73)/(FS$74-FS$73)*(FT$73-FT$74),IF($FK22&lt;FS$75,FT$74-($FK22-FS$74)/(FS$75-FS$74)*(FT$74-FT$75),IF($FK22&lt;FS$76,FT$75-($FK22-FS$75)/(FS$76-FS$75)*(FT$75-FT$76),IF($FK22&lt;FS$77,FT$76-($FK22-FS$76)/(FS$77-FS$76)*(FT$76-FT$77),25))))))</f>
        <v>N/A</v>
      </c>
      <c r="FU44" s="185"/>
      <c r="FV44" s="213" t="str">
        <f>IF('Wrnt 9 Input'!$C$11=1,IF($FK22&lt;FU$59,"N/A",IF($FK22&lt;FU$60,FV$59-($FK22-FU$59)/(FU$60-FU$59)*(FV$59-FV$60),IF($FK22&lt;FU$61,FV$60-($FK22-FU$60)/(FU$61-FU$60)*(FV$60-FV$61),IF($FK22&lt;FU$62,FV$61-($FK22-FU$61)/(FU$62-FU$61)*(FV$61-FV$62),25)))),IF($FK22&lt;FU$73,"N/A",IF($FK22&lt;FU$74,FV$73-($FK22-FU$73)/(FU$74-FU$73)*(FV$73-FV$74),IF($FK22&lt;FU$75,FV$74-($FK22-FU$74)/(FU$75-FU$74)*(FV$74-FV$75),IF($FK22&lt;FU$76,FV$75-($FK22-FU$75)/(FU$76-FU$75)*(FV$75-FV$76),IF($FK22&lt;FU$77,FV$76-($FK22-FU$76)/(FU$77-FU$76)*(FV$76-FV$77),IF($FK22&lt;FU$78,FV$77-($FK22-FU$77)/(FU$78-FU$77)*(FV$77-FV$78),IF($FK22&lt;FU$79,FV$78-($FK22-FU$78)/(FU$79-FU$78)*(FV$78-FV$79),25))))))))</f>
        <v>N/A</v>
      </c>
    </row>
    <row r="45" spans="1:180" ht="12.75" customHeight="1">
      <c r="A45" s="104" t="s">
        <v>93</v>
      </c>
      <c r="B45" s="105" t="str">
        <f>'Input Sheet'!B42</f>
        <v>12:00-1:00 pm</v>
      </c>
      <c r="C45" s="106" t="str">
        <f>IF('Input Sheet'!E59=0,"N/A",'Input Sheet'!E59)</f>
        <v>N/A</v>
      </c>
      <c r="D45" s="106" t="str">
        <f>IF('Input Sheet'!F59=0,"N/A",'Input Sheet'!F59)</f>
        <v>N/A</v>
      </c>
      <c r="E45" s="106">
        <f t="shared" si="112"/>
        <v>0</v>
      </c>
      <c r="F45" s="106"/>
      <c r="G45" s="106"/>
      <c r="H45" s="106"/>
      <c r="I45" s="106"/>
      <c r="J45" s="106"/>
      <c r="K45" s="106"/>
      <c r="L45" s="106"/>
      <c r="M45" s="106"/>
      <c r="N45" s="106"/>
      <c r="CZ45" s="61">
        <v>300</v>
      </c>
      <c r="DH45" s="61">
        <v>300</v>
      </c>
      <c r="DL45" s="61">
        <v>260</v>
      </c>
      <c r="DN45" s="61">
        <v>206</v>
      </c>
      <c r="DP45" s="61">
        <v>300</v>
      </c>
      <c r="DX45" s="61">
        <v>300</v>
      </c>
      <c r="EI45" s="61">
        <v>600</v>
      </c>
      <c r="EJ45" s="61">
        <v>290</v>
      </c>
      <c r="EL45" s="61">
        <v>400</v>
      </c>
      <c r="EM45" s="105">
        <v>214</v>
      </c>
      <c r="EN45" s="123"/>
      <c r="EO45" s="61">
        <v>600</v>
      </c>
      <c r="EP45" s="61">
        <v>494</v>
      </c>
      <c r="ER45" s="61">
        <v>400</v>
      </c>
      <c r="ES45" s="61">
        <v>349</v>
      </c>
      <c r="FK45" s="185"/>
      <c r="FL45" s="213" t="str">
        <f>IF('Wrnt 9 Input'!$C$11=1,IF($FK23&lt;FK$59,"N/A",IF($FK23&lt;FK$60,FL$59-($FK23-FK$59)/(FK$60-FK$59)*(FL$59-FL$60),IF($FK23&lt;FK$61,FL$60-($FK23-FK$60)/(FK$61-FK$60)*(FL$60-FL$61),25))),IF($FK23&lt;FK$73,"N/A",IF($FK23&lt;FK$74,FL$73-($FK23-FK$73)/(FK$74-FK$73)*(FL$73-FL$74),IF($FK23&lt;FK$75,FL$74-($FK23-FK$74)/(FK$75-FK$74)*(FL$74-FL$75),25))))</f>
        <v>N/A</v>
      </c>
      <c r="FM45" s="185"/>
      <c r="FN45" s="213" t="str">
        <f>IF('Wrnt 9 Input'!$C$11=1,IF($FK23&lt;FM$59,"N/A",IF($FK23&lt;FM$60,FN$59-($FK23-FM$59)/(FM$60-FM$59)*(FN$59-FN$60),IF($FK23&lt;FM$61,FN$60-($FK23-FM$60)/(FM$61-FM$60)*(FN$60-FN$61),25))),IF($FK23&lt;FM$73,"N/A",IF($FK23&lt;FM$74,FN$73-($FK23-FM$73)/(FM$74-FM$73)*(FN$73-FN$74),IF($FK23&lt;FM$75,FN$74-($FK23-FM$74)/(FM$75-FM$74)*(FN$74-FN$75),25))))</f>
        <v>N/A</v>
      </c>
      <c r="FO45" s="185"/>
      <c r="FP45" s="213" t="str">
        <f>IF('Wrnt 9 Input'!$C$11=1,IF($FK23&lt;FO$59,"N/A",IF($FK23&lt;FO$60,FP$59-($FK23-FO$59)/(FO$60-FO$59)*(FP$59-FP$60),IF($FK23&lt;FO$61,FP$60-($FK23-FO$60)/(FO$61-FO$60)*(FP$60-FP$61),IF($FK23&lt;FO$62,FP$61-($FK23-FO$61)/(FO$62-FO$61)*(FP$61-FP$62),IF($FK23&lt;FO$63,FP$62-($FK23-FO$62)/(FO$63-FO$62)*(FP$62-FP$63),25))))),IF($FK23&lt;FO$73,"N/A",IF($FK23&lt;FO$74,FP$73-($FK23-FO$73)/(FO$74-FO$73)*(FP$73-FP$74),IF($FK23&lt;FO$75,FP$74-($FK23-FO$74)/(FO$75-FO$74)*(FP$74-FP$75),IF($FK23&lt;FO$76,FP$75-($FK23-FO$75)/(FO$76-FO$75)*(FP$75-FP$76),25)))))</f>
        <v>N/A</v>
      </c>
      <c r="FQ45" s="185"/>
      <c r="FR45" s="213" t="str">
        <f>IF('Wrnt 9 Input'!$C$11=1,IF($FK23&lt;FQ$59,"N/A",IF($FK23&lt;FQ$60,FR$59-($FK23-FQ$59)/(FQ$60-FQ$59)*(FR$59-FR$60),IF($FK23&lt;FQ$61,FR$60-($FK23-FQ$60)/(FQ$61-FQ$60)*(FR$60-FR$61),IF($FK23&lt;FQ$62,FR$61-($FK23-FQ$61)/(FQ$62-FQ$61)*(FR$61-FR$62),IF($FK23&lt;FQ$63,FR$62-($FK23-FQ$62)/(FQ$63-FQ$62)*(FR$62-FR$63),25))))),IF($FK23&lt;FQ$73,"N/A",IF($FK23&lt;FQ$74,FR$73-($FK23-FQ$73)/(FQ$74-FQ$73)*(FR$73-FR$74),IF($FK23&lt;FQ$75,FR$74-($FK23-FQ$74)/(FQ$75-FQ$74)*(FR$74-FR$75),IF($FK23&lt;FQ$76,FR$75-($FK23-FQ$75)/(FQ$76-FQ$75)*(FR$75-FR$76),IF($FK23&lt;FQ$77,FR$76-($FK23-FQ$76)/(FQ$77-FQ$76)*(FR$76-FR$77),IF($FK23&lt;FQ$78,FR$77-($FK23-FQ$77)/(FQ$78-FQ$77)*(FR$77-FR$78),25)))))))</f>
        <v>N/A</v>
      </c>
      <c r="FS45" s="185"/>
      <c r="FT45" s="213" t="str">
        <f>IF('Wrnt 9 Input'!$C$11=1,IF($FK23&lt;FS$59,"N/A",IF($FK23&lt;FS$60,FT$59-($FK23-FS$59)/(FS$60-FS$59)*(FT$59-FT$60),IF($FK23&lt;FS$61,FT$60-($FK23-FS$60)/(FS$61-FS$60)*(FT$60-FT$61),IF($FK23&lt;FS$62,FT$61-($FK23-FS$61)/(FS$62-FS$61)*(FT$61-FT$62),IF($FK23&lt;FS$63,FT$62-($FK23-FS$62)/(FS$63-FS$62)*(FT$62-FT$63),25))))),IF($FK23&lt;FS$73,"N/A",IF($FK23&lt;FS$74,FT$73-($FK23-FS$73)/(FS$74-FS$73)*(FT$73-FT$74),IF($FK23&lt;FS$75,FT$74-($FK23-FS$74)/(FS$75-FS$74)*(FT$74-FT$75),IF($FK23&lt;FS$76,FT$75-($FK23-FS$75)/(FS$76-FS$75)*(FT$75-FT$76),IF($FK23&lt;FS$77,FT$76-($FK23-FS$76)/(FS$77-FS$76)*(FT$76-FT$77),25))))))</f>
        <v>N/A</v>
      </c>
      <c r="FU45" s="185"/>
      <c r="FV45" s="213" t="str">
        <f>IF('Wrnt 9 Input'!$C$11=1,IF($FK23&lt;FU$59,"N/A",IF($FK23&lt;FU$60,FV$59-($FK23-FU$59)/(FU$60-FU$59)*(FV$59-FV$60),IF($FK23&lt;FU$61,FV$60-($FK23-FU$60)/(FU$61-FU$60)*(FV$60-FV$61),IF($FK23&lt;FU$62,FV$61-($FK23-FU$61)/(FU$62-FU$61)*(FV$61-FV$62),25)))),IF($FK23&lt;FU$73,"N/A",IF($FK23&lt;FU$74,FV$73-($FK23-FU$73)/(FU$74-FU$73)*(FV$73-FV$74),IF($FK23&lt;FU$75,FV$74-($FK23-FU$74)/(FU$75-FU$74)*(FV$74-FV$75),IF($FK23&lt;FU$76,FV$75-($FK23-FU$75)/(FU$76-FU$75)*(FV$75-FV$76),IF($FK23&lt;FU$77,FV$76-($FK23-FU$76)/(FU$77-FU$76)*(FV$76-FV$77),IF($FK23&lt;FU$78,FV$77-($FK23-FU$77)/(FU$78-FU$77)*(FV$77-FV$78),IF($FK23&lt;FU$79,FV$78-($FK23-FU$78)/(FU$79-FU$78)*(FV$78-FV$79),25))))))))</f>
        <v>N/A</v>
      </c>
    </row>
    <row r="46" spans="1:180" ht="12.75" customHeight="1">
      <c r="A46" s="104" t="s">
        <v>162</v>
      </c>
      <c r="B46" s="105" t="str">
        <f>'Input Sheet'!B43</f>
        <v>1:00-2:00 pm</v>
      </c>
      <c r="C46" s="106" t="str">
        <f>IF('Input Sheet'!E60=0,"N/A",'Input Sheet'!E60)</f>
        <v>N/A</v>
      </c>
      <c r="D46" s="106" t="str">
        <f>IF('Input Sheet'!F60=0,"N/A",'Input Sheet'!F60)</f>
        <v>N/A</v>
      </c>
      <c r="E46" s="106">
        <f t="shared" si="112"/>
        <v>0</v>
      </c>
      <c r="F46" s="106"/>
      <c r="G46" s="106"/>
      <c r="H46" s="106"/>
      <c r="I46" s="106"/>
      <c r="J46" s="106"/>
      <c r="K46" s="106"/>
      <c r="L46" s="106"/>
      <c r="M46" s="106"/>
      <c r="N46" s="106"/>
      <c r="CZ46" s="61">
        <v>400</v>
      </c>
      <c r="DD46" s="61">
        <v>385</v>
      </c>
      <c r="DF46" s="61">
        <v>309</v>
      </c>
      <c r="DH46" s="61">
        <v>400</v>
      </c>
      <c r="DJ46" s="61">
        <v>284</v>
      </c>
      <c r="DL46" s="61">
        <v>212</v>
      </c>
      <c r="DN46" s="61">
        <v>164</v>
      </c>
      <c r="DP46" s="61">
        <v>400</v>
      </c>
      <c r="DX46" s="61">
        <v>400</v>
      </c>
      <c r="EB46" s="61">
        <v>338</v>
      </c>
      <c r="ED46" s="61">
        <v>265</v>
      </c>
      <c r="EI46" s="61">
        <v>700</v>
      </c>
      <c r="EJ46" s="61">
        <v>234</v>
      </c>
      <c r="EL46" s="61">
        <v>500</v>
      </c>
      <c r="EM46" s="61">
        <v>164</v>
      </c>
      <c r="EO46" s="61">
        <v>700</v>
      </c>
      <c r="EP46" s="61">
        <v>423</v>
      </c>
      <c r="ER46" s="61">
        <v>500</v>
      </c>
      <c r="ES46" s="61">
        <v>288</v>
      </c>
      <c r="FK46" s="185"/>
      <c r="FL46" s="213" t="str">
        <f>IF('Wrnt 9 Input'!$C$11=1,IF($FK24&lt;FK$59,"N/A",IF($FK24&lt;FK$60,FL$59-($FK24-FK$59)/(FK$60-FK$59)*(FL$59-FL$60),IF($FK24&lt;FK$61,FL$60-($FK24-FK$60)/(FK$61-FK$60)*(FL$60-FL$61),25))),IF($FK24&lt;FK$73,"N/A",IF($FK24&lt;FK$74,FL$73-($FK24-FK$73)/(FK$74-FK$73)*(FL$73-FL$74),IF($FK24&lt;FK$75,FL$74-($FK24-FK$74)/(FK$75-FK$74)*(FL$74-FL$75),25))))</f>
        <v>N/A</v>
      </c>
      <c r="FM46" s="185"/>
      <c r="FN46" s="213" t="str">
        <f>IF('Wrnt 9 Input'!$C$11=1,IF($FK24&lt;FM$59,"N/A",IF($FK24&lt;FM$60,FN$59-($FK24-FM$59)/(FM$60-FM$59)*(FN$59-FN$60),IF($FK24&lt;FM$61,FN$60-($FK24-FM$60)/(FM$61-FM$60)*(FN$60-FN$61),25))),IF($FK24&lt;FM$73,"N/A",IF($FK24&lt;FM$74,FN$73-($FK24-FM$73)/(FM$74-FM$73)*(FN$73-FN$74),IF($FK24&lt;FM$75,FN$74-($FK24-FM$74)/(FM$75-FM$74)*(FN$74-FN$75),25))))</f>
        <v>N/A</v>
      </c>
      <c r="FO46" s="185"/>
      <c r="FP46" s="213" t="str">
        <f>IF('Wrnt 9 Input'!$C$11=1,IF($FK24&lt;FO$59,"N/A",IF($FK24&lt;FO$60,FP$59-($FK24-FO$59)/(FO$60-FO$59)*(FP$59-FP$60),IF($FK24&lt;FO$61,FP$60-($FK24-FO$60)/(FO$61-FO$60)*(FP$60-FP$61),IF($FK24&lt;FO$62,FP$61-($FK24-FO$61)/(FO$62-FO$61)*(FP$61-FP$62),IF($FK24&lt;FO$63,FP$62-($FK24-FO$62)/(FO$63-FO$62)*(FP$62-FP$63),25))))),IF($FK24&lt;FO$73,"N/A",IF($FK24&lt;FO$74,FP$73-($FK24-FO$73)/(FO$74-FO$73)*(FP$73-FP$74),IF($FK24&lt;FO$75,FP$74-($FK24-FO$74)/(FO$75-FO$74)*(FP$74-FP$75),IF($FK24&lt;FO$76,FP$75-($FK24-FO$75)/(FO$76-FO$75)*(FP$75-FP$76),25)))))</f>
        <v>N/A</v>
      </c>
      <c r="FQ46" s="185"/>
      <c r="FR46" s="213" t="str">
        <f>IF('Wrnt 9 Input'!$C$11=1,IF($FK24&lt;FQ$59,"N/A",IF($FK24&lt;FQ$60,FR$59-($FK24-FQ$59)/(FQ$60-FQ$59)*(FR$59-FR$60),IF($FK24&lt;FQ$61,FR$60-($FK24-FQ$60)/(FQ$61-FQ$60)*(FR$60-FR$61),IF($FK24&lt;FQ$62,FR$61-($FK24-FQ$61)/(FQ$62-FQ$61)*(FR$61-FR$62),IF($FK24&lt;FQ$63,FR$62-($FK24-FQ$62)/(FQ$63-FQ$62)*(FR$62-FR$63),25))))),IF($FK24&lt;FQ$73,"N/A",IF($FK24&lt;FQ$74,FR$73-($FK24-FQ$73)/(FQ$74-FQ$73)*(FR$73-FR$74),IF($FK24&lt;FQ$75,FR$74-($FK24-FQ$74)/(FQ$75-FQ$74)*(FR$74-FR$75),IF($FK24&lt;FQ$76,FR$75-($FK24-FQ$75)/(FQ$76-FQ$75)*(FR$75-FR$76),IF($FK24&lt;FQ$77,FR$76-($FK24-FQ$76)/(FQ$77-FQ$76)*(FR$76-FR$77),IF($FK24&lt;FQ$78,FR$77-($FK24-FQ$77)/(FQ$78-FQ$77)*(FR$77-FR$78),25)))))))</f>
        <v>N/A</v>
      </c>
      <c r="FS46" s="185"/>
      <c r="FT46" s="213" t="str">
        <f>IF('Wrnt 9 Input'!$C$11=1,IF($FK24&lt;FS$59,"N/A",IF($FK24&lt;FS$60,FT$59-($FK24-FS$59)/(FS$60-FS$59)*(FT$59-FT$60),IF($FK24&lt;FS$61,FT$60-($FK24-FS$60)/(FS$61-FS$60)*(FT$60-FT$61),IF($FK24&lt;FS$62,FT$61-($FK24-FS$61)/(FS$62-FS$61)*(FT$61-FT$62),IF($FK24&lt;FS$63,FT$62-($FK24-FS$62)/(FS$63-FS$62)*(FT$62-FT$63),25))))),IF($FK24&lt;FS$73,"N/A",IF($FK24&lt;FS$74,FT$73-($FK24-FS$73)/(FS$74-FS$73)*(FT$73-FT$74),IF($FK24&lt;FS$75,FT$74-($FK24-FS$74)/(FS$75-FS$74)*(FT$74-FT$75),IF($FK24&lt;FS$76,FT$75-($FK24-FS$75)/(FS$76-FS$75)*(FT$75-FT$76),IF($FK24&lt;FS$77,FT$76-($FK24-FS$76)/(FS$77-FS$76)*(FT$76-FT$77),25))))))</f>
        <v>N/A</v>
      </c>
      <c r="FU46" s="185"/>
      <c r="FV46" s="213" t="str">
        <f>IF('Wrnt 9 Input'!$C$11=1,IF($FK24&lt;FU$59,"N/A",IF($FK24&lt;FU$60,FV$59-($FK24-FU$59)/(FU$60-FU$59)*(FV$59-FV$60),IF($FK24&lt;FU$61,FV$60-($FK24-FU$60)/(FU$61-FU$60)*(FV$60-FV$61),IF($FK24&lt;FU$62,FV$61-($FK24-FU$61)/(FU$62-FU$61)*(FV$61-FV$62),25)))),IF($FK24&lt;FU$73,"N/A",IF($FK24&lt;FU$74,FV$73-($FK24-FU$73)/(FU$74-FU$73)*(FV$73-FV$74),IF($FK24&lt;FU$75,FV$74-($FK24-FU$74)/(FU$75-FU$74)*(FV$74-FV$75),IF($FK24&lt;FU$76,FV$75-($FK24-FU$75)/(FU$76-FU$75)*(FV$75-FV$76),IF($FK24&lt;FU$77,FV$76-($FK24-FU$76)/(FU$77-FU$76)*(FV$76-FV$77),IF($FK24&lt;FU$78,FV$77-($FK24-FU$77)/(FU$78-FU$77)*(FV$77-FV$78),IF($FK24&lt;FU$79,FV$78-($FK24-FU$78)/(FU$79-FU$78)*(FV$78-FV$79),25))))))))</f>
        <v>N/A</v>
      </c>
    </row>
    <row r="47" spans="1:180">
      <c r="A47" s="104" t="s">
        <v>163</v>
      </c>
      <c r="B47" s="105" t="str">
        <f>'Input Sheet'!B44</f>
        <v>2:00-3:00 pm</v>
      </c>
      <c r="C47" s="106" t="str">
        <f>IF('Input Sheet'!E61=0,"N/A",'Input Sheet'!E61)</f>
        <v>N/A</v>
      </c>
      <c r="D47" s="106" t="str">
        <f>IF('Input Sheet'!F61=0,"N/A",'Input Sheet'!F61)</f>
        <v>N/A</v>
      </c>
      <c r="E47" s="106">
        <f t="shared" si="112"/>
        <v>0</v>
      </c>
      <c r="F47" s="106"/>
      <c r="G47" s="106"/>
      <c r="H47" s="106"/>
      <c r="I47" s="106"/>
      <c r="J47" s="106"/>
      <c r="K47" s="106"/>
      <c r="L47" s="106"/>
      <c r="M47" s="106"/>
      <c r="N47" s="106"/>
      <c r="CZ47" s="61">
        <v>500</v>
      </c>
      <c r="DB47" s="61">
        <v>453</v>
      </c>
      <c r="DD47" s="61">
        <v>337</v>
      </c>
      <c r="DF47" s="61">
        <v>261</v>
      </c>
      <c r="DH47" s="61">
        <v>500</v>
      </c>
      <c r="DJ47" s="61">
        <v>224</v>
      </c>
      <c r="DL47" s="61">
        <v>170</v>
      </c>
      <c r="DN47" s="61">
        <v>126</v>
      </c>
      <c r="DP47" s="61">
        <v>500</v>
      </c>
      <c r="DV47" s="61">
        <v>417</v>
      </c>
      <c r="DX47" s="61">
        <v>500</v>
      </c>
      <c r="DZ47" s="61">
        <v>368</v>
      </c>
      <c r="EB47" s="61">
        <v>285</v>
      </c>
      <c r="ED47" s="61">
        <v>217</v>
      </c>
      <c r="EI47" s="61">
        <v>800</v>
      </c>
      <c r="EJ47" s="61">
        <v>193</v>
      </c>
      <c r="EL47" s="61">
        <v>600</v>
      </c>
      <c r="EM47" s="61">
        <v>122</v>
      </c>
      <c r="EO47" s="61">
        <v>800</v>
      </c>
      <c r="EP47" s="61">
        <v>375</v>
      </c>
      <c r="ER47" s="61">
        <v>600</v>
      </c>
      <c r="ES47" s="61">
        <v>231</v>
      </c>
      <c r="FK47" s="185"/>
      <c r="FL47" s="213" t="str">
        <f>IF('Wrnt 9 Input'!$C$11=1,IF($FK25&lt;FK$59,"N/A",IF($FK25&lt;FK$60,FL$59-($FK25-FK$59)/(FK$60-FK$59)*(FL$59-FL$60),IF($FK25&lt;FK$61,FL$60-($FK25-FK$60)/(FK$61-FK$60)*(FL$60-FL$61),25))),IF($FK25&lt;FK$73,"N/A",IF($FK25&lt;FK$74,FL$73-($FK25-FK$73)/(FK$74-FK$73)*(FL$73-FL$74),IF($FK25&lt;FK$75,FL$74-($FK25-FK$74)/(FK$75-FK$74)*(FL$74-FL$75),25))))</f>
        <v>N/A</v>
      </c>
      <c r="FM47" s="185"/>
      <c r="FN47" s="213" t="str">
        <f>IF('Wrnt 9 Input'!$C$11=1,IF($FK25&lt;FM$59,"N/A",IF($FK25&lt;FM$60,FN$59-($FK25-FM$59)/(FM$60-FM$59)*(FN$59-FN$60),IF($FK25&lt;FM$61,FN$60-($FK25-FM$60)/(FM$61-FM$60)*(FN$60-FN$61),25))),IF($FK25&lt;FM$73,"N/A",IF($FK25&lt;FM$74,FN$73-($FK25-FM$73)/(FM$74-FM$73)*(FN$73-FN$74),IF($FK25&lt;FM$75,FN$74-($FK25-FM$74)/(FM$75-FM$74)*(FN$74-FN$75),25))))</f>
        <v>N/A</v>
      </c>
      <c r="FO47" s="185"/>
      <c r="FP47" s="213" t="str">
        <f>IF('Wrnt 9 Input'!$C$11=1,IF($FK25&lt;FO$59,"N/A",IF($FK25&lt;FO$60,FP$59-($FK25-FO$59)/(FO$60-FO$59)*(FP$59-FP$60),IF($FK25&lt;FO$61,FP$60-($FK25-FO$60)/(FO$61-FO$60)*(FP$60-FP$61),IF($FK25&lt;FO$62,FP$61-($FK25-FO$61)/(FO$62-FO$61)*(FP$61-FP$62),IF($FK25&lt;FO$63,FP$62-($FK25-FO$62)/(FO$63-FO$62)*(FP$62-FP$63),25))))),IF($FK25&lt;FO$73,"N/A",IF($FK25&lt;FO$74,FP$73-($FK25-FO$73)/(FO$74-FO$73)*(FP$73-FP$74),IF($FK25&lt;FO$75,FP$74-($FK25-FO$74)/(FO$75-FO$74)*(FP$74-FP$75),IF($FK25&lt;FO$76,FP$75-($FK25-FO$75)/(FO$76-FO$75)*(FP$75-FP$76),25)))))</f>
        <v>N/A</v>
      </c>
      <c r="FQ47" s="185"/>
      <c r="FR47" s="213" t="str">
        <f>IF('Wrnt 9 Input'!$C$11=1,IF($FK25&lt;FQ$59,"N/A",IF($FK25&lt;FQ$60,FR$59-($FK25-FQ$59)/(FQ$60-FQ$59)*(FR$59-FR$60),IF($FK25&lt;FQ$61,FR$60-($FK25-FQ$60)/(FQ$61-FQ$60)*(FR$60-FR$61),IF($FK25&lt;FQ$62,FR$61-($FK25-FQ$61)/(FQ$62-FQ$61)*(FR$61-FR$62),IF($FK25&lt;FQ$63,FR$62-($FK25-FQ$62)/(FQ$63-FQ$62)*(FR$62-FR$63),25))))),IF($FK25&lt;FQ$73,"N/A",IF($FK25&lt;FQ$74,FR$73-($FK25-FQ$73)/(FQ$74-FQ$73)*(FR$73-FR$74),IF($FK25&lt;FQ$75,FR$74-($FK25-FQ$74)/(FQ$75-FQ$74)*(FR$74-FR$75),IF($FK25&lt;FQ$76,FR$75-($FK25-FQ$75)/(FQ$76-FQ$75)*(FR$75-FR$76),IF($FK25&lt;FQ$77,FR$76-($FK25-FQ$76)/(FQ$77-FQ$76)*(FR$76-FR$77),IF($FK25&lt;FQ$78,FR$77-($FK25-FQ$77)/(FQ$78-FQ$77)*(FR$77-FR$78),25)))))))</f>
        <v>N/A</v>
      </c>
      <c r="FS47" s="185"/>
      <c r="FT47" s="213" t="str">
        <f>IF('Wrnt 9 Input'!$C$11=1,IF($FK25&lt;FS$59,"N/A",IF($FK25&lt;FS$60,FT$59-($FK25-FS$59)/(FS$60-FS$59)*(FT$59-FT$60),IF($FK25&lt;FS$61,FT$60-($FK25-FS$60)/(FS$61-FS$60)*(FT$60-FT$61),IF($FK25&lt;FS$62,FT$61-($FK25-FS$61)/(FS$62-FS$61)*(FT$61-FT$62),IF($FK25&lt;FS$63,FT$62-($FK25-FS$62)/(FS$63-FS$62)*(FT$62-FT$63),25))))),IF($FK25&lt;FS$73,"N/A",IF($FK25&lt;FS$74,FT$73-($FK25-FS$73)/(FS$74-FS$73)*(FT$73-FT$74),IF($FK25&lt;FS$75,FT$74-($FK25-FS$74)/(FS$75-FS$74)*(FT$74-FT$75),IF($FK25&lt;FS$76,FT$75-($FK25-FS$75)/(FS$76-FS$75)*(FT$75-FT$76),IF($FK25&lt;FS$77,FT$76-($FK25-FS$76)/(FS$77-FS$76)*(FT$76-FT$77),25))))))</f>
        <v>N/A</v>
      </c>
      <c r="FU47" s="185"/>
      <c r="FV47" s="213" t="str">
        <f>IF('Wrnt 9 Input'!$C$11=1,IF($FK25&lt;FU$59,"N/A",IF($FK25&lt;FU$60,FV$59-($FK25-FU$59)/(FU$60-FU$59)*(FV$59-FV$60),IF($FK25&lt;FU$61,FV$60-($FK25-FU$60)/(FU$61-FU$60)*(FV$60-FV$61),IF($FK25&lt;FU$62,FV$61-($FK25-FU$61)/(FU$62-FU$61)*(FV$61-FV$62),25)))),IF($FK25&lt;FU$73,"N/A",IF($FK25&lt;FU$74,FV$73-($FK25-FU$73)/(FU$74-FU$73)*(FV$73-FV$74),IF($FK25&lt;FU$75,FV$74-($FK25-FU$74)/(FU$75-FU$74)*(FV$74-FV$75),IF($FK25&lt;FU$76,FV$75-($FK25-FU$75)/(FU$76-FU$75)*(FV$75-FV$76),IF($FK25&lt;FU$77,FV$76-($FK25-FU$76)/(FU$77-FU$76)*(FV$76-FV$77),IF($FK25&lt;FU$78,FV$77-($FK25-FU$77)/(FU$78-FU$77)*(FV$77-FV$78),IF($FK25&lt;FU$79,FV$78-($FK25-FU$78)/(FU$79-FU$78)*(FV$78-FV$79),25))))))))</f>
        <v>N/A</v>
      </c>
    </row>
    <row r="48" spans="1:180" ht="13.5" customHeight="1">
      <c r="A48" s="104" t="s">
        <v>80</v>
      </c>
      <c r="B48" s="105" t="str">
        <f>'Input Sheet'!B45</f>
        <v>3:00-4:00 pm</v>
      </c>
      <c r="C48" s="106" t="str">
        <f>IF('Input Sheet'!E62=0,"N/A",'Input Sheet'!E62)</f>
        <v>N/A</v>
      </c>
      <c r="D48" s="106" t="str">
        <f>IF('Input Sheet'!F62=0,"N/A",'Input Sheet'!F62)</f>
        <v>N/A</v>
      </c>
      <c r="E48" s="106">
        <f t="shared" si="112"/>
        <v>0</v>
      </c>
      <c r="F48" s="106"/>
      <c r="G48" s="106"/>
      <c r="H48" s="106"/>
      <c r="I48" s="106"/>
      <c r="J48" s="106"/>
      <c r="K48" s="106"/>
      <c r="L48" s="106"/>
      <c r="M48" s="106"/>
      <c r="N48" s="106"/>
      <c r="CZ48" s="61">
        <v>600</v>
      </c>
      <c r="DB48" s="61">
        <v>387</v>
      </c>
      <c r="DD48" s="61">
        <v>288</v>
      </c>
      <c r="DF48" s="61">
        <v>218</v>
      </c>
      <c r="DH48" s="61">
        <v>600</v>
      </c>
      <c r="DJ48" s="61">
        <v>174</v>
      </c>
      <c r="DL48" s="61">
        <v>131</v>
      </c>
      <c r="DN48" s="61">
        <v>92</v>
      </c>
      <c r="DP48" s="61">
        <v>600</v>
      </c>
      <c r="DR48" s="61">
        <v>594</v>
      </c>
      <c r="DT48" s="61">
        <v>464</v>
      </c>
      <c r="DV48" s="61">
        <v>367</v>
      </c>
      <c r="DX48" s="61">
        <v>600</v>
      </c>
      <c r="DZ48" s="61">
        <v>311</v>
      </c>
      <c r="EB48" s="61">
        <v>239</v>
      </c>
      <c r="ED48" s="61">
        <v>175</v>
      </c>
      <c r="EI48" s="61">
        <v>900</v>
      </c>
      <c r="EJ48" s="61">
        <v>156</v>
      </c>
      <c r="EL48" s="61">
        <v>700</v>
      </c>
      <c r="EM48" s="61">
        <v>88</v>
      </c>
      <c r="EO48" s="61">
        <v>900</v>
      </c>
      <c r="EP48" s="61">
        <v>324</v>
      </c>
      <c r="ER48" s="61">
        <v>700</v>
      </c>
      <c r="ES48" s="61">
        <v>187</v>
      </c>
      <c r="FK48" s="185"/>
      <c r="FL48" s="213" t="str">
        <f>IF('Wrnt 9 Input'!$C$11=1,IF($FK26&lt;FK$59,"N/A",IF($FK26&lt;FK$60,FL$59-($FK26-FK$59)/(FK$60-FK$59)*(FL$59-FL$60),IF($FK26&lt;FK$61,FL$60-($FK26-FK$60)/(FK$61-FK$60)*(FL$60-FL$61),25))),IF($FK26&lt;FK$73,"N/A",IF($FK26&lt;FK$74,FL$73-($FK26-FK$73)/(FK$74-FK$73)*(FL$73-FL$74),IF($FK26&lt;FK$75,FL$74-($FK26-FK$74)/(FK$75-FK$74)*(FL$74-FL$75),25))))</f>
        <v>N/A</v>
      </c>
      <c r="FM48" s="185"/>
      <c r="FN48" s="213" t="str">
        <f>IF('Wrnt 9 Input'!$C$11=1,IF($FK26&lt;FM$59,"N/A",IF($FK26&lt;FM$60,FN$59-($FK26-FM$59)/(FM$60-FM$59)*(FN$59-FN$60),IF($FK26&lt;FM$61,FN$60-($FK26-FM$60)/(FM$61-FM$60)*(FN$60-FN$61),25))),IF($FK26&lt;FM$73,"N/A",IF($FK26&lt;FM$74,FN$73-($FK26-FM$73)/(FM$74-FM$73)*(FN$73-FN$74),IF($FK26&lt;FM$75,FN$74-($FK26-FM$74)/(FM$75-FM$74)*(FN$74-FN$75),25))))</f>
        <v>N/A</v>
      </c>
      <c r="FO48" s="185"/>
      <c r="FP48" s="213" t="str">
        <f>IF('Wrnt 9 Input'!$C$11=1,IF($FK26&lt;FO$59,"N/A",IF($FK26&lt;FO$60,FP$59-($FK26-FO$59)/(FO$60-FO$59)*(FP$59-FP$60),IF($FK26&lt;FO$61,FP$60-($FK26-FO$60)/(FO$61-FO$60)*(FP$60-FP$61),IF($FK26&lt;FO$62,FP$61-($FK26-FO$61)/(FO$62-FO$61)*(FP$61-FP$62),IF($FK26&lt;FO$63,FP$62-($FK26-FO$62)/(FO$63-FO$62)*(FP$62-FP$63),25))))),IF($FK26&lt;FO$73,"N/A",IF($FK26&lt;FO$74,FP$73-($FK26-FO$73)/(FO$74-FO$73)*(FP$73-FP$74),IF($FK26&lt;FO$75,FP$74-($FK26-FO$74)/(FO$75-FO$74)*(FP$74-FP$75),IF($FK26&lt;FO$76,FP$75-($FK26-FO$75)/(FO$76-FO$75)*(FP$75-FP$76),25)))))</f>
        <v>N/A</v>
      </c>
      <c r="FQ48" s="185"/>
      <c r="FR48" s="213" t="str">
        <f>IF('Wrnt 9 Input'!$C$11=1,IF($FK26&lt;FQ$59,"N/A",IF($FK26&lt;FQ$60,FR$59-($FK26-FQ$59)/(FQ$60-FQ$59)*(FR$59-FR$60),IF($FK26&lt;FQ$61,FR$60-($FK26-FQ$60)/(FQ$61-FQ$60)*(FR$60-FR$61),IF($FK26&lt;FQ$62,FR$61-($FK26-FQ$61)/(FQ$62-FQ$61)*(FR$61-FR$62),IF($FK26&lt;FQ$63,FR$62-($FK26-FQ$62)/(FQ$63-FQ$62)*(FR$62-FR$63),25))))),IF($FK26&lt;FQ$73,"N/A",IF($FK26&lt;FQ$74,FR$73-($FK26-FQ$73)/(FQ$74-FQ$73)*(FR$73-FR$74),IF($FK26&lt;FQ$75,FR$74-($FK26-FQ$74)/(FQ$75-FQ$74)*(FR$74-FR$75),IF($FK26&lt;FQ$76,FR$75-($FK26-FQ$75)/(FQ$76-FQ$75)*(FR$75-FR$76),IF($FK26&lt;FQ$77,FR$76-($FK26-FQ$76)/(FQ$77-FQ$76)*(FR$76-FR$77),IF($FK26&lt;FQ$78,FR$77-($FK26-FQ$77)/(FQ$78-FQ$77)*(FR$77-FR$78),25)))))))</f>
        <v>N/A</v>
      </c>
      <c r="FS48" s="185"/>
      <c r="FT48" s="213" t="str">
        <f>IF('Wrnt 9 Input'!$C$11=1,IF($FK26&lt;FS$59,"N/A",IF($FK26&lt;FS$60,FT$59-($FK26-FS$59)/(FS$60-FS$59)*(FT$59-FT$60),IF($FK26&lt;FS$61,FT$60-($FK26-FS$60)/(FS$61-FS$60)*(FT$60-FT$61),IF($FK26&lt;FS$62,FT$61-($FK26-FS$61)/(FS$62-FS$61)*(FT$61-FT$62),IF($FK26&lt;FS$63,FT$62-($FK26-FS$62)/(FS$63-FS$62)*(FT$62-FT$63),25))))),IF($FK26&lt;FS$73,"N/A",IF($FK26&lt;FS$74,FT$73-($FK26-FS$73)/(FS$74-FS$73)*(FT$73-FT$74),IF($FK26&lt;FS$75,FT$74-($FK26-FS$74)/(FS$75-FS$74)*(FT$74-FT$75),IF($FK26&lt;FS$76,FT$75-($FK26-FS$75)/(FS$76-FS$75)*(FT$75-FT$76),IF($FK26&lt;FS$77,FT$76-($FK26-FS$76)/(FS$77-FS$76)*(FT$76-FT$77),25))))))</f>
        <v>N/A</v>
      </c>
      <c r="FU48" s="185"/>
      <c r="FV48" s="213" t="str">
        <f>IF('Wrnt 9 Input'!$C$11=1,IF($FK26&lt;FU$59,"N/A",IF($FK26&lt;FU$60,FV$59-($FK26-FU$59)/(FU$60-FU$59)*(FV$59-FV$60),IF($FK26&lt;FU$61,FV$60-($FK26-FU$60)/(FU$61-FU$60)*(FV$60-FV$61),IF($FK26&lt;FU$62,FV$61-($FK26-FU$61)/(FU$62-FU$61)*(FV$61-FV$62),25)))),IF($FK26&lt;FU$73,"N/A",IF($FK26&lt;FU$74,FV$73-($FK26-FU$73)/(FU$74-FU$73)*(FV$73-FV$74),IF($FK26&lt;FU$75,FV$74-($FK26-FU$74)/(FU$75-FU$74)*(FV$74-FV$75),IF($FK26&lt;FU$76,FV$75-($FK26-FU$75)/(FU$76-FU$75)*(FV$75-FV$76),IF($FK26&lt;FU$77,FV$76-($FK26-FU$76)/(FU$77-FU$76)*(FV$76-FV$77),IF($FK26&lt;FU$78,FV$77-($FK26-FU$77)/(FU$78-FU$77)*(FV$77-FV$78),IF($FK26&lt;FU$79,FV$78-($FK26-FU$78)/(FU$79-FU$78)*(FV$78-FV$79),25))))))))</f>
        <v>N/A</v>
      </c>
    </row>
    <row r="49" spans="1:178">
      <c r="A49" s="104" t="s">
        <v>81</v>
      </c>
      <c r="B49" s="105" t="str">
        <f>'Input Sheet'!B46</f>
        <v>4:00-5:00 pm</v>
      </c>
      <c r="C49" s="106" t="str">
        <f>IF('Input Sheet'!E63=0,"N/A",'Input Sheet'!E63)</f>
        <v>N/A</v>
      </c>
      <c r="D49" s="106" t="str">
        <f>IF('Input Sheet'!F63=0,"N/A",'Input Sheet'!F63)</f>
        <v>N/A</v>
      </c>
      <c r="E49" s="106">
        <f t="shared" si="112"/>
        <v>0</v>
      </c>
      <c r="F49" s="106"/>
      <c r="G49" s="106"/>
      <c r="H49" s="106"/>
      <c r="I49" s="106"/>
      <c r="J49" s="106"/>
      <c r="K49" s="106"/>
      <c r="L49" s="106"/>
      <c r="M49" s="106"/>
      <c r="N49" s="106"/>
      <c r="CZ49" s="61">
        <v>700</v>
      </c>
      <c r="DB49" s="61">
        <v>332</v>
      </c>
      <c r="DD49" s="61">
        <v>245</v>
      </c>
      <c r="DF49" s="61">
        <v>182</v>
      </c>
      <c r="DH49" s="61">
        <v>700</v>
      </c>
      <c r="DJ49" s="61">
        <v>137</v>
      </c>
      <c r="DL49" s="61">
        <v>100</v>
      </c>
      <c r="DN49" s="61">
        <v>68</v>
      </c>
      <c r="DP49" s="61">
        <v>700</v>
      </c>
      <c r="DR49" s="61">
        <v>530</v>
      </c>
      <c r="DT49" s="61">
        <v>414</v>
      </c>
      <c r="DV49" s="61">
        <v>324</v>
      </c>
      <c r="DX49" s="61">
        <v>700</v>
      </c>
      <c r="DZ49" s="61">
        <v>260</v>
      </c>
      <c r="EB49" s="61">
        <v>196</v>
      </c>
      <c r="ED49" s="61">
        <v>142</v>
      </c>
      <c r="EI49" s="61">
        <v>1000</v>
      </c>
      <c r="EJ49" s="61">
        <v>123</v>
      </c>
      <c r="EL49" s="61">
        <v>800</v>
      </c>
      <c r="EM49" s="61">
        <v>75</v>
      </c>
      <c r="EO49" s="61">
        <v>1000</v>
      </c>
      <c r="EP49" s="61">
        <v>277</v>
      </c>
      <c r="ER49" s="61">
        <v>800</v>
      </c>
      <c r="ES49" s="61">
        <v>154</v>
      </c>
      <c r="FK49" s="185"/>
      <c r="FL49" s="213" t="str">
        <f>IF('Wrnt 9 Input'!$C$11=1,IF($FK27&lt;FK$59,"N/A",IF($FK27&lt;FK$60,FL$59-($FK27-FK$59)/(FK$60-FK$59)*(FL$59-FL$60),IF($FK27&lt;FK$61,FL$60-($FK27-FK$60)/(FK$61-FK$60)*(FL$60-FL$61),25))),IF($FK27&lt;FK$73,"N/A",IF($FK27&lt;FK$74,FL$73-($FK27-FK$73)/(FK$74-FK$73)*(FL$73-FL$74),IF($FK27&lt;FK$75,FL$74-($FK27-FK$74)/(FK$75-FK$74)*(FL$74-FL$75),25))))</f>
        <v>N/A</v>
      </c>
      <c r="FM49" s="185"/>
      <c r="FN49" s="213" t="str">
        <f>IF('Wrnt 9 Input'!$C$11=1,IF($FK27&lt;FM$59,"N/A",IF($FK27&lt;FM$60,FN$59-($FK27-FM$59)/(FM$60-FM$59)*(FN$59-FN$60),IF($FK27&lt;FM$61,FN$60-($FK27-FM$60)/(FM$61-FM$60)*(FN$60-FN$61),25))),IF($FK27&lt;FM$73,"N/A",IF($FK27&lt;FM$74,FN$73-($FK27-FM$73)/(FM$74-FM$73)*(FN$73-FN$74),IF($FK27&lt;FM$75,FN$74-($FK27-FM$74)/(FM$75-FM$74)*(FN$74-FN$75),25))))</f>
        <v>N/A</v>
      </c>
      <c r="FO49" s="185"/>
      <c r="FP49" s="213" t="str">
        <f>IF('Wrnt 9 Input'!$C$11=1,IF($FK27&lt;FO$59,"N/A",IF($FK27&lt;FO$60,FP$59-($FK27-FO$59)/(FO$60-FO$59)*(FP$59-FP$60),IF($FK27&lt;FO$61,FP$60-($FK27-FO$60)/(FO$61-FO$60)*(FP$60-FP$61),IF($FK27&lt;FO$62,FP$61-($FK27-FO$61)/(FO$62-FO$61)*(FP$61-FP$62),IF($FK27&lt;FO$63,FP$62-($FK27-FO$62)/(FO$63-FO$62)*(FP$62-FP$63),25))))),IF($FK27&lt;FO$73,"N/A",IF($FK27&lt;FO$74,FP$73-($FK27-FO$73)/(FO$74-FO$73)*(FP$73-FP$74),IF($FK27&lt;FO$75,FP$74-($FK27-FO$74)/(FO$75-FO$74)*(FP$74-FP$75),IF($FK27&lt;FO$76,FP$75-($FK27-FO$75)/(FO$76-FO$75)*(FP$75-FP$76),25)))))</f>
        <v>N/A</v>
      </c>
      <c r="FQ49" s="185"/>
      <c r="FR49" s="213" t="str">
        <f>IF('Wrnt 9 Input'!$C$11=1,IF($FK27&lt;FQ$59,"N/A",IF($FK27&lt;FQ$60,FR$59-($FK27-FQ$59)/(FQ$60-FQ$59)*(FR$59-FR$60),IF($FK27&lt;FQ$61,FR$60-($FK27-FQ$60)/(FQ$61-FQ$60)*(FR$60-FR$61),IF($FK27&lt;FQ$62,FR$61-($FK27-FQ$61)/(FQ$62-FQ$61)*(FR$61-FR$62),IF($FK27&lt;FQ$63,FR$62-($FK27-FQ$62)/(FQ$63-FQ$62)*(FR$62-FR$63),25))))),IF($FK27&lt;FQ$73,"N/A",IF($FK27&lt;FQ$74,FR$73-($FK27-FQ$73)/(FQ$74-FQ$73)*(FR$73-FR$74),IF($FK27&lt;FQ$75,FR$74-($FK27-FQ$74)/(FQ$75-FQ$74)*(FR$74-FR$75),IF($FK27&lt;FQ$76,FR$75-($FK27-FQ$75)/(FQ$76-FQ$75)*(FR$75-FR$76),IF($FK27&lt;FQ$77,FR$76-($FK27-FQ$76)/(FQ$77-FQ$76)*(FR$76-FR$77),IF($FK27&lt;FQ$78,FR$77-($FK27-FQ$77)/(FQ$78-FQ$77)*(FR$77-FR$78),25)))))))</f>
        <v>N/A</v>
      </c>
      <c r="FS49" s="185"/>
      <c r="FT49" s="213" t="str">
        <f>IF('Wrnt 9 Input'!$C$11=1,IF($FK27&lt;FS$59,"N/A",IF($FK27&lt;FS$60,FT$59-($FK27-FS$59)/(FS$60-FS$59)*(FT$59-FT$60),IF($FK27&lt;FS$61,FT$60-($FK27-FS$60)/(FS$61-FS$60)*(FT$60-FT$61),IF($FK27&lt;FS$62,FT$61-($FK27-FS$61)/(FS$62-FS$61)*(FT$61-FT$62),IF($FK27&lt;FS$63,FT$62-($FK27-FS$62)/(FS$63-FS$62)*(FT$62-FT$63),25))))),IF($FK27&lt;FS$73,"N/A",IF($FK27&lt;FS$74,FT$73-($FK27-FS$73)/(FS$74-FS$73)*(FT$73-FT$74),IF($FK27&lt;FS$75,FT$74-($FK27-FS$74)/(FS$75-FS$74)*(FT$74-FT$75),IF($FK27&lt;FS$76,FT$75-($FK27-FS$75)/(FS$76-FS$75)*(FT$75-FT$76),IF($FK27&lt;FS$77,FT$76-($FK27-FS$76)/(FS$77-FS$76)*(FT$76-FT$77),25))))))</f>
        <v>N/A</v>
      </c>
      <c r="FU49" s="185"/>
      <c r="FV49" s="213" t="str">
        <f>IF('Wrnt 9 Input'!$C$11=1,IF($FK27&lt;FU$59,"N/A",IF($FK27&lt;FU$60,FV$59-($FK27-FU$59)/(FU$60-FU$59)*(FV$59-FV$60),IF($FK27&lt;FU$61,FV$60-($FK27-FU$60)/(FU$61-FU$60)*(FV$60-FV$61),IF($FK27&lt;FU$62,FV$61-($FK27-FU$61)/(FU$62-FU$61)*(FV$61-FV$62),25)))),IF($FK27&lt;FU$73,"N/A",IF($FK27&lt;FU$74,FV$73-($FK27-FU$73)/(FU$74-FU$73)*(FV$73-FV$74),IF($FK27&lt;FU$75,FV$74-($FK27-FU$74)/(FU$75-FU$74)*(FV$74-FV$75),IF($FK27&lt;FU$76,FV$75-($FK27-FU$75)/(FU$76-FU$75)*(FV$75-FV$76),IF($FK27&lt;FU$77,FV$76-($FK27-FU$76)/(FU$77-FU$76)*(FV$76-FV$77),IF($FK27&lt;FU$78,FV$77-($FK27-FU$77)/(FU$78-FU$77)*(FV$77-FV$78),IF($FK27&lt;FU$79,FV$78-($FK27-FU$78)/(FU$79-FU$78)*(FV$78-FV$79),25))))))))</f>
        <v>N/A</v>
      </c>
    </row>
    <row r="50" spans="1:178">
      <c r="A50" s="104" t="s">
        <v>82</v>
      </c>
      <c r="B50" s="105" t="str">
        <f>'Input Sheet'!B47</f>
        <v>5:00-6:00 pm</v>
      </c>
      <c r="C50" s="106" t="str">
        <f>IF('Input Sheet'!E64=0,"N/A",'Input Sheet'!E64)</f>
        <v>N/A</v>
      </c>
      <c r="D50" s="106" t="str">
        <f>IF('Input Sheet'!F64=0,"N/A",'Input Sheet'!F64)</f>
        <v>N/A</v>
      </c>
      <c r="E50" s="106">
        <f t="shared" si="112"/>
        <v>0</v>
      </c>
      <c r="F50" s="106"/>
      <c r="G50" s="106"/>
      <c r="H50" s="106"/>
      <c r="I50" s="106"/>
      <c r="J50" s="106"/>
      <c r="K50" s="106"/>
      <c r="L50" s="106"/>
      <c r="M50" s="106"/>
      <c r="N50" s="106"/>
      <c r="CZ50" s="61">
        <v>800</v>
      </c>
      <c r="DB50" s="61">
        <v>278</v>
      </c>
      <c r="DD50" s="61">
        <v>205</v>
      </c>
      <c r="DF50" s="61">
        <v>148</v>
      </c>
      <c r="DH50" s="61">
        <v>800</v>
      </c>
      <c r="DJ50" s="61">
        <v>105</v>
      </c>
      <c r="DL50" s="61">
        <v>79</v>
      </c>
      <c r="DN50" s="61">
        <v>60</v>
      </c>
      <c r="DP50" s="61">
        <v>800</v>
      </c>
      <c r="DR50" s="61">
        <v>473</v>
      </c>
      <c r="DT50" s="61">
        <v>367</v>
      </c>
      <c r="DV50" s="61">
        <v>282</v>
      </c>
      <c r="DX50" s="61">
        <v>800</v>
      </c>
      <c r="DZ50" s="61">
        <v>217</v>
      </c>
      <c r="EB50" s="61">
        <v>163</v>
      </c>
      <c r="ED50" s="61">
        <v>115</v>
      </c>
      <c r="EI50" s="61">
        <v>1100</v>
      </c>
      <c r="EJ50" s="61">
        <v>107</v>
      </c>
      <c r="EL50" s="61">
        <v>900</v>
      </c>
      <c r="EM50" s="61">
        <v>75</v>
      </c>
      <c r="EO50" s="61">
        <v>1100</v>
      </c>
      <c r="EP50" s="61">
        <v>239</v>
      </c>
      <c r="ER50" s="61">
        <v>900</v>
      </c>
      <c r="ES50" s="61">
        <v>119</v>
      </c>
      <c r="FL50" s="213" t="str">
        <f>IF('Wrnt 9 Input'!$C$11=1,IF($FK28&lt;FK$59,"N/A",IF($FK28&lt;FK$60,FL$59-($FK28-FK$59)/(FK$60-FK$59)*(FL$59-FL$60),IF($FK28&lt;FK$61,FL$60-($FK28-FK$60)/(FK$61-FK$60)*(FL$60-FL$61),25))),IF($FK28&lt;FK$73,"N/A",IF($FK28&lt;FK$74,FL$73-($FK28-FK$73)/(FK$74-FK$73)*(FL$73-FL$74),IF($FK28&lt;FK$75,FL$74-($FK28-FK$74)/(FK$75-FK$74)*(FL$74-FL$75),25))))</f>
        <v>N/A</v>
      </c>
      <c r="FN50" s="213" t="str">
        <f>IF('Wrnt 9 Input'!$C$11=1,IF($FK28&lt;FM$59,"N/A",IF($FK28&lt;FM$60,FN$59-($FK28-FM$59)/(FM$60-FM$59)*(FN$59-FN$60),IF($FK28&lt;FM$61,FN$60-($FK28-FM$60)/(FM$61-FM$60)*(FN$60-FN$61),25))),IF($FK28&lt;FM$73,"N/A",IF($FK28&lt;FM$74,FN$73-($FK28-FM$73)/(FM$74-FM$73)*(FN$73-FN$74),IF($FK28&lt;FM$75,FN$74-($FK28-FM$74)/(FM$75-FM$74)*(FN$74-FN$75),25))))</f>
        <v>N/A</v>
      </c>
      <c r="FP50" s="213" t="str">
        <f>IF('Wrnt 9 Input'!$C$11=1,IF($FK28&lt;FO$59,"N/A",IF($FK28&lt;FO$60,FP$59-($FK28-FO$59)/(FO$60-FO$59)*(FP$59-FP$60),IF($FK28&lt;FO$61,FP$60-($FK28-FO$60)/(FO$61-FO$60)*(FP$60-FP$61),IF($FK28&lt;FO$62,FP$61-($FK28-FO$61)/(FO$62-FO$61)*(FP$61-FP$62),IF($FK28&lt;FO$63,FP$62-($FK28-FO$62)/(FO$63-FO$62)*(FP$62-FP$63),25))))),IF($FK28&lt;FO$73,"N/A",IF($FK28&lt;FO$74,FP$73-($FK28-FO$73)/(FO$74-FO$73)*(FP$73-FP$74),IF($FK28&lt;FO$75,FP$74-($FK28-FO$74)/(FO$75-FO$74)*(FP$74-FP$75),IF($FK28&lt;FO$76,FP$75-($FK28-FO$75)/(FO$76-FO$75)*(FP$75-FP$76),25)))))</f>
        <v>N/A</v>
      </c>
      <c r="FR50" s="213" t="str">
        <f>IF('Wrnt 9 Input'!$C$11=1,IF($FK28&lt;FQ$59,"N/A",IF($FK28&lt;FQ$60,FR$59-($FK28-FQ$59)/(FQ$60-FQ$59)*(FR$59-FR$60),IF($FK28&lt;FQ$61,FR$60-($FK28-FQ$60)/(FQ$61-FQ$60)*(FR$60-FR$61),IF($FK28&lt;FQ$62,FR$61-($FK28-FQ$61)/(FQ$62-FQ$61)*(FR$61-FR$62),IF($FK28&lt;FQ$63,FR$62-($FK28-FQ$62)/(FQ$63-FQ$62)*(FR$62-FR$63),25))))),IF($FK28&lt;FQ$73,"N/A",IF($FK28&lt;FQ$74,FR$73-($FK28-FQ$73)/(FQ$74-FQ$73)*(FR$73-FR$74),IF($FK28&lt;FQ$75,FR$74-($FK28-FQ$74)/(FQ$75-FQ$74)*(FR$74-FR$75),IF($FK28&lt;FQ$76,FR$75-($FK28-FQ$75)/(FQ$76-FQ$75)*(FR$75-FR$76),IF($FK28&lt;FQ$77,FR$76-($FK28-FQ$76)/(FQ$77-FQ$76)*(FR$76-FR$77),IF($FK28&lt;FQ$78,FR$77-($FK28-FQ$77)/(FQ$78-FQ$77)*(FR$77-FR$78),25)))))))</f>
        <v>N/A</v>
      </c>
      <c r="FT50" s="213" t="str">
        <f>IF('Wrnt 9 Input'!$C$11=1,IF($FK28&lt;FS$59,"N/A",IF($FK28&lt;FS$60,FT$59-($FK28-FS$59)/(FS$60-FS$59)*(FT$59-FT$60),IF($FK28&lt;FS$61,FT$60-($FK28-FS$60)/(FS$61-FS$60)*(FT$60-FT$61),IF($FK28&lt;FS$62,FT$61-($FK28-FS$61)/(FS$62-FS$61)*(FT$61-FT$62),IF($FK28&lt;FS$63,FT$62-($FK28-FS$62)/(FS$63-FS$62)*(FT$62-FT$63),25))))),IF($FK28&lt;FS$73,"N/A",IF($FK28&lt;FS$74,FT$73-($FK28-FS$73)/(FS$74-FS$73)*(FT$73-FT$74),IF($FK28&lt;FS$75,FT$74-($FK28-FS$74)/(FS$75-FS$74)*(FT$74-FT$75),IF($FK28&lt;FS$76,FT$75-($FK28-FS$75)/(FS$76-FS$75)*(FT$75-FT$76),IF($FK28&lt;FS$77,FT$76-($FK28-FS$76)/(FS$77-FS$76)*(FT$76-FT$77),25))))))</f>
        <v>N/A</v>
      </c>
      <c r="FV50" s="213" t="str">
        <f>IF('Wrnt 9 Input'!$C$11=1,IF($FK28&lt;FU$59,"N/A",IF($FK28&lt;FU$60,FV$59-($FK28-FU$59)/(FU$60-FU$59)*(FV$59-FV$60),IF($FK28&lt;FU$61,FV$60-($FK28-FU$60)/(FU$61-FU$60)*(FV$60-FV$61),IF($FK28&lt;FU$62,FV$61-($FK28-FU$61)/(FU$62-FU$61)*(FV$61-FV$62),25)))),IF($FK28&lt;FU$73,"N/A",IF($FK28&lt;FU$74,FV$73-($FK28-FU$73)/(FU$74-FU$73)*(FV$73-FV$74),IF($FK28&lt;FU$75,FV$74-($FK28-FU$74)/(FU$75-FU$74)*(FV$74-FV$75),IF($FK28&lt;FU$76,FV$75-($FK28-FU$75)/(FU$76-FU$75)*(FV$75-FV$76),IF($FK28&lt;FU$77,FV$76-($FK28-FU$76)/(FU$77-FU$76)*(FV$76-FV$77),IF($FK28&lt;FU$78,FV$77-($FK28-FU$77)/(FU$78-FU$77)*(FV$77-FV$78),IF($FK28&lt;FU$79,FV$78-($FK28-FU$78)/(FU$79-FU$78)*(FV$78-FV$79),25))))))))</f>
        <v>N/A</v>
      </c>
    </row>
    <row r="51" spans="1:178">
      <c r="A51" s="104" t="s">
        <v>164</v>
      </c>
      <c r="B51" s="105" t="str">
        <f>'Input Sheet'!B48</f>
        <v>6:00-7:00 pm</v>
      </c>
      <c r="C51" s="106" t="str">
        <f>IF('Input Sheet'!E65=0,"N/A",'Input Sheet'!E65)</f>
        <v>N/A</v>
      </c>
      <c r="D51" s="106" t="str">
        <f>IF('Input Sheet'!F65=0,"N/A",'Input Sheet'!F65)</f>
        <v>N/A</v>
      </c>
      <c r="E51" s="106">
        <f t="shared" si="112"/>
        <v>0</v>
      </c>
      <c r="F51" s="106"/>
      <c r="G51" s="106"/>
      <c r="H51" s="106"/>
      <c r="I51" s="106"/>
      <c r="J51" s="106"/>
      <c r="K51" s="106"/>
      <c r="L51" s="106"/>
      <c r="M51" s="106"/>
      <c r="N51" s="106"/>
      <c r="CZ51" s="61">
        <v>900</v>
      </c>
      <c r="DB51" s="61">
        <v>235</v>
      </c>
      <c r="DD51" s="61">
        <v>172</v>
      </c>
      <c r="DF51" s="61">
        <v>119</v>
      </c>
      <c r="DH51" s="61">
        <v>900</v>
      </c>
      <c r="DJ51" s="61">
        <v>80</v>
      </c>
      <c r="DL51" s="61">
        <v>63</v>
      </c>
      <c r="DN51" s="61">
        <v>60</v>
      </c>
      <c r="DP51" s="61">
        <v>900</v>
      </c>
      <c r="DR51" s="61">
        <v>420</v>
      </c>
      <c r="DT51" s="61">
        <v>324</v>
      </c>
      <c r="DV51" s="61">
        <v>243</v>
      </c>
      <c r="DX51" s="61">
        <v>900</v>
      </c>
      <c r="DZ51" s="61">
        <v>177</v>
      </c>
      <c r="EB51" s="61">
        <v>137</v>
      </c>
      <c r="ED51" s="61">
        <v>93</v>
      </c>
      <c r="EI51" s="61">
        <v>1200</v>
      </c>
      <c r="EJ51" s="61">
        <v>107</v>
      </c>
      <c r="EL51" s="61">
        <v>1000</v>
      </c>
      <c r="EM51" s="61">
        <v>75</v>
      </c>
      <c r="EO51" s="61">
        <v>1200</v>
      </c>
      <c r="EP51" s="61">
        <v>200</v>
      </c>
      <c r="ER51" s="61">
        <v>1000</v>
      </c>
      <c r="ES51" s="61">
        <v>100</v>
      </c>
      <c r="FK51" s="173"/>
      <c r="FL51" s="213" t="str">
        <f>IF('Wrnt 9 Input'!$C$11=1,IF($FK29&lt;FK$59,"N/A",IF($FK29&lt;FK$60,FL$59-($FK29-FK$59)/(FK$60-FK$59)*(FL$59-FL$60),IF($FK29&lt;FK$61,FL$60-($FK29-FK$60)/(FK$61-FK$60)*(FL$60-FL$61),25))),IF($FK29&lt;FK$73,"N/A",IF($FK29&lt;FK$74,FL$73-($FK29-FK$73)/(FK$74-FK$73)*(FL$73-FL$74),IF($FK29&lt;FK$75,FL$74-($FK29-FK$74)/(FK$75-FK$74)*(FL$74-FL$75),25))))</f>
        <v>N/A</v>
      </c>
      <c r="FM51" s="173"/>
      <c r="FN51" s="213" t="str">
        <f>IF('Wrnt 9 Input'!$C$11=1,IF($FK29&lt;FM$59,"N/A",IF($FK29&lt;FM$60,FN$59-($FK29-FM$59)/(FM$60-FM$59)*(FN$59-FN$60),IF($FK29&lt;FM$61,FN$60-($FK29-FM$60)/(FM$61-FM$60)*(FN$60-FN$61),25))),IF($FK29&lt;FM$73,"N/A",IF($FK29&lt;FM$74,FN$73-($FK29-FM$73)/(FM$74-FM$73)*(FN$73-FN$74),IF($FK29&lt;FM$75,FN$74-($FK29-FM$74)/(FM$75-FM$74)*(FN$74-FN$75),25))))</f>
        <v>N/A</v>
      </c>
      <c r="FP51" s="213" t="str">
        <f>IF('Wrnt 9 Input'!$C$11=1,IF($FK29&lt;FO$59,"N/A",IF($FK29&lt;FO$60,FP$59-($FK29-FO$59)/(FO$60-FO$59)*(FP$59-FP$60),IF($FK29&lt;FO$61,FP$60-($FK29-FO$60)/(FO$61-FO$60)*(FP$60-FP$61),IF($FK29&lt;FO$62,FP$61-($FK29-FO$61)/(FO$62-FO$61)*(FP$61-FP$62),IF($FK29&lt;FO$63,FP$62-($FK29-FO$62)/(FO$63-FO$62)*(FP$62-FP$63),25))))),IF($FK29&lt;FO$73,"N/A",IF($FK29&lt;FO$74,FP$73-($FK29-FO$73)/(FO$74-FO$73)*(FP$73-FP$74),IF($FK29&lt;FO$75,FP$74-($FK29-FO$74)/(FO$75-FO$74)*(FP$74-FP$75),IF($FK29&lt;FO$76,FP$75-($FK29-FO$75)/(FO$76-FO$75)*(FP$75-FP$76),25)))))</f>
        <v>N/A</v>
      </c>
      <c r="FR51" s="213" t="str">
        <f>IF('Wrnt 9 Input'!$C$11=1,IF($FK29&lt;FQ$59,"N/A",IF($FK29&lt;FQ$60,FR$59-($FK29-FQ$59)/(FQ$60-FQ$59)*(FR$59-FR$60),IF($FK29&lt;FQ$61,FR$60-($FK29-FQ$60)/(FQ$61-FQ$60)*(FR$60-FR$61),IF($FK29&lt;FQ$62,FR$61-($FK29-FQ$61)/(FQ$62-FQ$61)*(FR$61-FR$62),IF($FK29&lt;FQ$63,FR$62-($FK29-FQ$62)/(FQ$63-FQ$62)*(FR$62-FR$63),25))))),IF($FK29&lt;FQ$73,"N/A",IF($FK29&lt;FQ$74,FR$73-($FK29-FQ$73)/(FQ$74-FQ$73)*(FR$73-FR$74),IF($FK29&lt;FQ$75,FR$74-($FK29-FQ$74)/(FQ$75-FQ$74)*(FR$74-FR$75),IF($FK29&lt;FQ$76,FR$75-($FK29-FQ$75)/(FQ$76-FQ$75)*(FR$75-FR$76),IF($FK29&lt;FQ$77,FR$76-($FK29-FQ$76)/(FQ$77-FQ$76)*(FR$76-FR$77),IF($FK29&lt;FQ$78,FR$77-($FK29-FQ$77)/(FQ$78-FQ$77)*(FR$77-FR$78),25)))))))</f>
        <v>N/A</v>
      </c>
      <c r="FT51" s="213" t="str">
        <f>IF('Wrnt 9 Input'!$C$11=1,IF($FK29&lt;FS$59,"N/A",IF($FK29&lt;FS$60,FT$59-($FK29-FS$59)/(FS$60-FS$59)*(FT$59-FT$60),IF($FK29&lt;FS$61,FT$60-($FK29-FS$60)/(FS$61-FS$60)*(FT$60-FT$61),IF($FK29&lt;FS$62,FT$61-($FK29-FS$61)/(FS$62-FS$61)*(FT$61-FT$62),IF($FK29&lt;FS$63,FT$62-($FK29-FS$62)/(FS$63-FS$62)*(FT$62-FT$63),25))))),IF($FK29&lt;FS$73,"N/A",IF($FK29&lt;FS$74,FT$73-($FK29-FS$73)/(FS$74-FS$73)*(FT$73-FT$74),IF($FK29&lt;FS$75,FT$74-($FK29-FS$74)/(FS$75-FS$74)*(FT$74-FT$75),IF($FK29&lt;FS$76,FT$75-($FK29-FS$75)/(FS$76-FS$75)*(FT$75-FT$76),IF($FK29&lt;FS$77,FT$76-($FK29-FS$76)/(FS$77-FS$76)*(FT$76-FT$77),25))))))</f>
        <v>N/A</v>
      </c>
      <c r="FU51" s="173"/>
      <c r="FV51" s="213" t="str">
        <f>IF('Wrnt 9 Input'!$C$11=1,IF($FK29&lt;FU$59,"N/A",IF($FK29&lt;FU$60,FV$59-($FK29-FU$59)/(FU$60-FU$59)*(FV$59-FV$60),IF($FK29&lt;FU$61,FV$60-($FK29-FU$60)/(FU$61-FU$60)*(FV$60-FV$61),IF($FK29&lt;FU$62,FV$61-($FK29-FU$61)/(FU$62-FU$61)*(FV$61-FV$62),25)))),IF($FK29&lt;FU$73,"N/A",IF($FK29&lt;FU$74,FV$73-($FK29-FU$73)/(FU$74-FU$73)*(FV$73-FV$74),IF($FK29&lt;FU$75,FV$74-($FK29-FU$74)/(FU$75-FU$74)*(FV$74-FV$75),IF($FK29&lt;FU$76,FV$75-($FK29-FU$75)/(FU$76-FU$75)*(FV$75-FV$76),IF($FK29&lt;FU$77,FV$76-($FK29-FU$76)/(FU$77-FU$76)*(FV$76-FV$77),IF($FK29&lt;FU$78,FV$77-($FK29-FU$77)/(FU$78-FU$77)*(FV$77-FV$78),IF($FK29&lt;FU$79,FV$78-($FK29-FU$78)/(FU$79-FU$78)*(FV$78-FV$79),25))))))))</f>
        <v>N/A</v>
      </c>
    </row>
    <row r="52" spans="1:178">
      <c r="A52" s="104"/>
      <c r="B52" s="105"/>
      <c r="C52" s="106"/>
      <c r="D52" s="106"/>
      <c r="E52" s="106"/>
      <c r="F52" s="106"/>
      <c r="G52" s="106"/>
      <c r="H52" s="107"/>
      <c r="I52" s="106"/>
      <c r="J52" s="106"/>
      <c r="K52" s="106"/>
      <c r="L52" s="106"/>
      <c r="M52" s="106"/>
      <c r="N52" s="106"/>
      <c r="CZ52" s="61">
        <v>1000</v>
      </c>
      <c r="DB52" s="61">
        <v>196</v>
      </c>
      <c r="DD52" s="61">
        <v>144</v>
      </c>
      <c r="DF52" s="61">
        <v>96</v>
      </c>
      <c r="DH52" s="61">
        <v>1000</v>
      </c>
      <c r="DJ52" s="61">
        <v>80</v>
      </c>
      <c r="DL52" s="61">
        <v>60</v>
      </c>
      <c r="DN52" s="61">
        <v>60</v>
      </c>
      <c r="DP52" s="61">
        <v>1000</v>
      </c>
      <c r="DR52" s="61">
        <v>372</v>
      </c>
      <c r="DT52" s="61">
        <v>287</v>
      </c>
      <c r="DV52" s="61">
        <v>204</v>
      </c>
      <c r="DX52" s="61">
        <v>1000</v>
      </c>
      <c r="DZ52" s="61">
        <v>142</v>
      </c>
      <c r="EB52" s="61">
        <v>113</v>
      </c>
      <c r="ED52" s="61">
        <v>83</v>
      </c>
      <c r="EI52" s="61">
        <v>1300</v>
      </c>
      <c r="EJ52" s="61">
        <v>107</v>
      </c>
      <c r="EL52" s="61">
        <v>1100</v>
      </c>
      <c r="EM52"/>
      <c r="EN52"/>
      <c r="EO52" s="61">
        <v>1300</v>
      </c>
      <c r="EP52" s="61">
        <v>167</v>
      </c>
      <c r="ER52" s="61">
        <v>1100</v>
      </c>
      <c r="ES52" s="61">
        <v>93</v>
      </c>
      <c r="FK52" s="173"/>
      <c r="FL52" s="213" t="str">
        <f>IF('Wrnt 9 Input'!$C$11=1,IF($FK30&lt;FK$59,"N/A",IF($FK30&lt;FK$60,FL$59-($FK30-FK$59)/(FK$60-FK$59)*(FL$59-FL$60),IF($FK30&lt;FK$61,FL$60-($FK30-FK$60)/(FK$61-FK$60)*(FL$60-FL$61),25))),IF($FK30&lt;FK$73,"N/A",IF($FK30&lt;FK$74,FL$73-($FK30-FK$73)/(FK$74-FK$73)*(FL$73-FL$74),IF($FK30&lt;FK$75,FL$74-($FK30-FK$74)/(FK$75-FK$74)*(FL$74-FL$75),25))))</f>
        <v>N/A</v>
      </c>
      <c r="FM52" s="173"/>
      <c r="FN52" s="213" t="str">
        <f>IF('Wrnt 9 Input'!$C$11=1,IF($FK30&lt;FM$59,"N/A",IF($FK30&lt;FM$60,FN$59-($FK30-FM$59)/(FM$60-FM$59)*(FN$59-FN$60),IF($FK30&lt;FM$61,FN$60-($FK30-FM$60)/(FM$61-FM$60)*(FN$60-FN$61),25))),IF($FK30&lt;FM$73,"N/A",IF($FK30&lt;FM$74,FN$73-($FK30-FM$73)/(FM$74-FM$73)*(FN$73-FN$74),IF($FK30&lt;FM$75,FN$74-($FK30-FM$74)/(FM$75-FM$74)*(FN$74-FN$75),25))))</f>
        <v>N/A</v>
      </c>
      <c r="FO52" s="173"/>
      <c r="FP52" s="213" t="str">
        <f>IF('Wrnt 9 Input'!$C$11=1,IF($FK30&lt;FO$59,"N/A",IF($FK30&lt;FO$60,FP$59-($FK30-FO$59)/(FO$60-FO$59)*(FP$59-FP$60),IF($FK30&lt;FO$61,FP$60-($FK30-FO$60)/(FO$61-FO$60)*(FP$60-FP$61),IF($FK30&lt;FO$62,FP$61-($FK30-FO$61)/(FO$62-FO$61)*(FP$61-FP$62),IF($FK30&lt;FO$63,FP$62-($FK30-FO$62)/(FO$63-FO$62)*(FP$62-FP$63),25))))),IF($FK30&lt;FO$73,"N/A",IF($FK30&lt;FO$74,FP$73-($FK30-FO$73)/(FO$74-FO$73)*(FP$73-FP$74),IF($FK30&lt;FO$75,FP$74-($FK30-FO$74)/(FO$75-FO$74)*(FP$74-FP$75),IF($FK30&lt;FO$76,FP$75-($FK30-FO$75)/(FO$76-FO$75)*(FP$75-FP$76),25)))))</f>
        <v>N/A</v>
      </c>
      <c r="FR52" s="213" t="str">
        <f>IF('Wrnt 9 Input'!$C$11=1,IF($FK30&lt;FQ$59,"N/A",IF($FK30&lt;FQ$60,FR$59-($FK30-FQ$59)/(FQ$60-FQ$59)*(FR$59-FR$60),IF($FK30&lt;FQ$61,FR$60-($FK30-FQ$60)/(FQ$61-FQ$60)*(FR$60-FR$61),IF($FK30&lt;FQ$62,FR$61-($FK30-FQ$61)/(FQ$62-FQ$61)*(FR$61-FR$62),IF($FK30&lt;FQ$63,FR$62-($FK30-FQ$62)/(FQ$63-FQ$62)*(FR$62-FR$63),25))))),IF($FK30&lt;FQ$73,"N/A",IF($FK30&lt;FQ$74,FR$73-($FK30-FQ$73)/(FQ$74-FQ$73)*(FR$73-FR$74),IF($FK30&lt;FQ$75,FR$74-($FK30-FQ$74)/(FQ$75-FQ$74)*(FR$74-FR$75),IF($FK30&lt;FQ$76,FR$75-($FK30-FQ$75)/(FQ$76-FQ$75)*(FR$75-FR$76),IF($FK30&lt;FQ$77,FR$76-($FK30-FQ$76)/(FQ$77-FQ$76)*(FR$76-FR$77),IF($FK30&lt;FQ$78,FR$77-($FK30-FQ$77)/(FQ$78-FQ$77)*(FR$77-FR$78),25)))))))</f>
        <v>N/A</v>
      </c>
      <c r="FS52" s="173"/>
      <c r="FT52" s="213" t="str">
        <f>IF('Wrnt 9 Input'!$C$11=1,IF($FK30&lt;FS$59,"N/A",IF($FK30&lt;FS$60,FT$59-($FK30-FS$59)/(FS$60-FS$59)*(FT$59-FT$60),IF($FK30&lt;FS$61,FT$60-($FK30-FS$60)/(FS$61-FS$60)*(FT$60-FT$61),IF($FK30&lt;FS$62,FT$61-($FK30-FS$61)/(FS$62-FS$61)*(FT$61-FT$62),IF($FK30&lt;FS$63,FT$62-($FK30-FS$62)/(FS$63-FS$62)*(FT$62-FT$63),25))))),IF($FK30&lt;FS$73,"N/A",IF($FK30&lt;FS$74,FT$73-($FK30-FS$73)/(FS$74-FS$73)*(FT$73-FT$74),IF($FK30&lt;FS$75,FT$74-($FK30-FS$74)/(FS$75-FS$74)*(FT$74-FT$75),IF($FK30&lt;FS$76,FT$75-($FK30-FS$75)/(FS$76-FS$75)*(FT$75-FT$76),IF($FK30&lt;FS$77,FT$76-($FK30-FS$76)/(FS$77-FS$76)*(FT$76-FT$77),25))))))</f>
        <v>N/A</v>
      </c>
      <c r="FU52" s="173"/>
      <c r="FV52" s="213" t="str">
        <f>IF('Wrnt 9 Input'!$C$11=1,IF($FK30&lt;FU$59,"N/A",IF($FK30&lt;FU$60,FV$59-($FK30-FU$59)/(FU$60-FU$59)*(FV$59-FV$60),IF($FK30&lt;FU$61,FV$60-($FK30-FU$60)/(FU$61-FU$60)*(FV$60-FV$61),IF($FK30&lt;FU$62,FV$61-($FK30-FU$61)/(FU$62-FU$61)*(FV$61-FV$62),25)))),IF($FK30&lt;FU$73,"N/A",IF($FK30&lt;FU$74,FV$73-($FK30-FU$73)/(FU$74-FU$73)*(FV$73-FV$74),IF($FK30&lt;FU$75,FV$74-($FK30-FU$74)/(FU$75-FU$74)*(FV$74-FV$75),IF($FK30&lt;FU$76,FV$75-($FK30-FU$75)/(FU$76-FU$75)*(FV$75-FV$76),IF($FK30&lt;FU$77,FV$76-($FK30-FU$76)/(FU$77-FU$76)*(FV$76-FV$77),IF($FK30&lt;FU$78,FV$77-($FK30-FU$77)/(FU$78-FU$77)*(FV$77-FV$78),IF($FK30&lt;FU$79,FV$78-($FK30-FU$78)/(FU$79-FU$78)*(FV$78-FV$79),25))))))))</f>
        <v>N/A</v>
      </c>
    </row>
    <row r="53" spans="1:178" ht="12.75" customHeight="1">
      <c r="A53" s="104"/>
      <c r="B53" s="105"/>
      <c r="C53" s="106"/>
      <c r="D53" s="106"/>
      <c r="E53" s="106"/>
      <c r="F53" s="106"/>
      <c r="G53" s="106"/>
      <c r="H53" s="106"/>
      <c r="I53" s="106"/>
      <c r="J53" s="106"/>
      <c r="K53" s="106"/>
      <c r="L53" s="106"/>
      <c r="M53" s="3"/>
      <c r="N53" s="3"/>
      <c r="CZ53" s="61">
        <v>1100</v>
      </c>
      <c r="DB53" s="61">
        <v>167</v>
      </c>
      <c r="DD53" s="61">
        <v>120</v>
      </c>
      <c r="DF53" s="61">
        <v>81</v>
      </c>
      <c r="DH53" s="61">
        <v>1100</v>
      </c>
      <c r="DJ53" s="61">
        <v>80</v>
      </c>
      <c r="DL53" s="61">
        <v>60</v>
      </c>
      <c r="DN53" s="61">
        <v>60</v>
      </c>
      <c r="DP53" s="61">
        <v>1100</v>
      </c>
      <c r="DR53" s="61">
        <v>325</v>
      </c>
      <c r="DT53" s="61">
        <v>251</v>
      </c>
      <c r="DV53" s="61">
        <v>173</v>
      </c>
      <c r="DX53" s="61">
        <v>1100</v>
      </c>
      <c r="DZ53" s="61">
        <v>117</v>
      </c>
      <c r="EB53" s="61">
        <v>97</v>
      </c>
      <c r="ED53" s="61">
        <v>75</v>
      </c>
      <c r="EI53" s="61">
        <v>1400</v>
      </c>
      <c r="EJ53" s="61">
        <v>107</v>
      </c>
      <c r="EO53" s="61">
        <v>1400</v>
      </c>
      <c r="EP53" s="61">
        <v>144</v>
      </c>
      <c r="ER53" s="61">
        <v>1200</v>
      </c>
      <c r="ES53" s="61">
        <v>93</v>
      </c>
      <c r="FK53" s="389" t="s">
        <v>320</v>
      </c>
      <c r="FL53" s="389"/>
      <c r="FM53" s="389"/>
      <c r="FN53" s="389"/>
      <c r="FO53" s="389"/>
      <c r="FP53" s="389"/>
      <c r="FQ53" s="389"/>
      <c r="FR53" s="389"/>
      <c r="FS53" s="389"/>
      <c r="FT53" s="389"/>
      <c r="FU53" s="389"/>
      <c r="FV53" s="389"/>
    </row>
    <row r="54" spans="1:178" ht="12.75" customHeight="1">
      <c r="C54" s="3"/>
      <c r="D54" s="3"/>
      <c r="E54" s="3"/>
      <c r="F54" s="3"/>
      <c r="G54" s="3"/>
      <c r="H54" s="3"/>
      <c r="I54" s="3"/>
      <c r="J54" s="3"/>
      <c r="K54" s="3"/>
      <c r="L54" s="3"/>
      <c r="M54" s="3"/>
      <c r="N54" s="3"/>
      <c r="CZ54" s="61">
        <v>1200</v>
      </c>
      <c r="DB54" s="61">
        <v>142</v>
      </c>
      <c r="DD54" s="61">
        <v>102</v>
      </c>
      <c r="DF54" s="61">
        <v>80</v>
      </c>
      <c r="DH54" s="61">
        <v>1200</v>
      </c>
      <c r="DJ54" s="61">
        <v>80</v>
      </c>
      <c r="DL54" s="61">
        <v>60</v>
      </c>
      <c r="DN54" s="61">
        <v>60</v>
      </c>
      <c r="DP54" s="61">
        <v>1200</v>
      </c>
      <c r="DR54" s="61">
        <v>284</v>
      </c>
      <c r="DT54" s="61">
        <v>219</v>
      </c>
      <c r="DV54" s="61">
        <v>148</v>
      </c>
      <c r="DX54" s="61">
        <v>1200</v>
      </c>
      <c r="DZ54" s="61">
        <v>100</v>
      </c>
      <c r="EB54" s="61">
        <v>81</v>
      </c>
      <c r="ED54" s="61">
        <v>75</v>
      </c>
      <c r="EO54" s="61">
        <v>1500</v>
      </c>
      <c r="EP54" s="61">
        <v>133</v>
      </c>
      <c r="FK54" s="417" t="s">
        <v>327</v>
      </c>
      <c r="FL54" s="417" t="s">
        <v>395</v>
      </c>
      <c r="FM54" s="417" t="s">
        <v>327</v>
      </c>
      <c r="FN54" s="417" t="s">
        <v>395</v>
      </c>
      <c r="FO54" s="417" t="s">
        <v>327</v>
      </c>
      <c r="FP54" s="417" t="s">
        <v>395</v>
      </c>
      <c r="FQ54" s="417" t="s">
        <v>327</v>
      </c>
      <c r="FR54" s="417" t="s">
        <v>395</v>
      </c>
      <c r="FS54" s="417" t="s">
        <v>327</v>
      </c>
      <c r="FT54" s="417" t="s">
        <v>395</v>
      </c>
      <c r="FU54" s="417" t="s">
        <v>327</v>
      </c>
      <c r="FV54" s="417" t="s">
        <v>395</v>
      </c>
    </row>
    <row r="55" spans="1:178">
      <c r="C55" s="3"/>
      <c r="D55" s="3"/>
      <c r="E55" s="3"/>
      <c r="F55" s="3"/>
      <c r="G55" s="3"/>
      <c r="H55" s="3"/>
      <c r="I55" s="3"/>
      <c r="J55" s="3"/>
      <c r="K55" s="3"/>
      <c r="L55" s="3"/>
      <c r="M55" s="3"/>
      <c r="N55" s="3"/>
      <c r="CZ55" s="61">
        <v>1300</v>
      </c>
      <c r="DB55" s="61">
        <v>118</v>
      </c>
      <c r="DD55" s="61">
        <v>86</v>
      </c>
      <c r="DF55" s="61">
        <v>80</v>
      </c>
      <c r="DH55" s="61">
        <v>1300</v>
      </c>
      <c r="DJ55" s="61">
        <v>80</v>
      </c>
      <c r="DL55" s="61">
        <v>60</v>
      </c>
      <c r="DN55" s="61">
        <v>60</v>
      </c>
      <c r="DP55" s="61">
        <v>1300</v>
      </c>
      <c r="DR55" s="61">
        <v>246</v>
      </c>
      <c r="DT55" s="61">
        <v>190</v>
      </c>
      <c r="DV55" s="61">
        <v>129</v>
      </c>
      <c r="DX55" s="61">
        <v>1300</v>
      </c>
      <c r="DZ55" s="61">
        <v>100</v>
      </c>
      <c r="EB55" s="61">
        <v>75</v>
      </c>
      <c r="ED55" s="61">
        <v>75</v>
      </c>
      <c r="EO55" s="61">
        <v>1600</v>
      </c>
      <c r="EP55" s="61">
        <v>133</v>
      </c>
      <c r="EW55"/>
      <c r="EX55" s="201"/>
      <c r="EY55"/>
      <c r="FK55" s="417"/>
      <c r="FL55" s="417"/>
      <c r="FM55" s="417"/>
      <c r="FN55" s="417"/>
      <c r="FO55" s="417"/>
      <c r="FP55" s="417"/>
      <c r="FQ55" s="417"/>
      <c r="FR55" s="417"/>
      <c r="FS55" s="417"/>
      <c r="FT55" s="417"/>
      <c r="FU55" s="417"/>
      <c r="FV55" s="417"/>
    </row>
    <row r="56" spans="1:178">
      <c r="C56" s="3"/>
      <c r="D56" s="3"/>
      <c r="E56" s="3"/>
      <c r="F56" s="3"/>
      <c r="G56" s="3"/>
      <c r="H56" s="3"/>
      <c r="I56" s="3"/>
      <c r="J56" s="3"/>
      <c r="K56" s="3"/>
      <c r="L56" s="3"/>
      <c r="M56" s="3"/>
      <c r="N56" s="3"/>
      <c r="CZ56" s="61">
        <v>1400</v>
      </c>
      <c r="DB56" s="61">
        <v>115</v>
      </c>
      <c r="DD56" s="61">
        <v>80</v>
      </c>
      <c r="DF56" s="61">
        <v>80</v>
      </c>
      <c r="DH56" s="61">
        <v>1400</v>
      </c>
      <c r="DJ56" s="61">
        <v>80</v>
      </c>
      <c r="DL56" s="61">
        <v>60</v>
      </c>
      <c r="DN56" s="61">
        <v>60</v>
      </c>
      <c r="DP56" s="61">
        <v>1400</v>
      </c>
      <c r="DR56" s="61">
        <v>215</v>
      </c>
      <c r="DT56" s="61">
        <v>163</v>
      </c>
      <c r="DV56" s="61">
        <v>113</v>
      </c>
      <c r="DX56" s="61">
        <v>1400</v>
      </c>
      <c r="DZ56" s="61">
        <v>100</v>
      </c>
      <c r="EB56" s="61">
        <v>75</v>
      </c>
      <c r="ED56" s="61">
        <v>75</v>
      </c>
      <c r="EO56" s="61">
        <v>1700</v>
      </c>
      <c r="EP56" s="61">
        <v>133</v>
      </c>
      <c r="FK56" s="417"/>
      <c r="FL56" s="417"/>
      <c r="FM56" s="417"/>
      <c r="FN56" s="417"/>
      <c r="FO56" s="417"/>
      <c r="FP56" s="417"/>
      <c r="FQ56" s="417"/>
      <c r="FR56" s="417"/>
      <c r="FS56" s="417"/>
      <c r="FT56" s="417"/>
      <c r="FU56" s="417"/>
      <c r="FV56" s="417"/>
    </row>
    <row r="57" spans="1:178" ht="13.5" customHeight="1">
      <c r="C57" s="3"/>
      <c r="D57" s="3"/>
      <c r="E57" s="3"/>
      <c r="F57" s="3"/>
      <c r="G57" s="3"/>
      <c r="H57" s="3"/>
      <c r="I57" s="3"/>
      <c r="J57" s="3"/>
      <c r="K57" s="3"/>
      <c r="L57" s="3"/>
      <c r="M57" s="3"/>
      <c r="N57" s="3"/>
      <c r="CZ57" s="61">
        <v>1500</v>
      </c>
      <c r="DB57" s="61">
        <v>115</v>
      </c>
      <c r="DD57" s="61">
        <v>80</v>
      </c>
      <c r="DF57" s="61">
        <v>80</v>
      </c>
      <c r="DH57" s="61">
        <v>1500</v>
      </c>
      <c r="DJ57" s="61">
        <v>80</v>
      </c>
      <c r="DL57" s="61">
        <v>60</v>
      </c>
      <c r="DN57" s="61">
        <v>60</v>
      </c>
      <c r="DP57" s="61">
        <v>1500</v>
      </c>
      <c r="DR57" s="61">
        <v>189</v>
      </c>
      <c r="DT57" s="61">
        <v>140</v>
      </c>
      <c r="DV57" s="61">
        <v>102</v>
      </c>
      <c r="DX57" s="61">
        <v>1500</v>
      </c>
      <c r="DZ57" s="61">
        <v>100</v>
      </c>
      <c r="EB57" s="61">
        <v>75</v>
      </c>
      <c r="ED57" s="61">
        <v>75</v>
      </c>
      <c r="EO57" s="61">
        <v>1800</v>
      </c>
      <c r="EP57" s="61">
        <v>133</v>
      </c>
      <c r="FI57" s="61"/>
      <c r="FJ57" s="61"/>
      <c r="FK57" s="417"/>
      <c r="FL57" s="417"/>
      <c r="FM57" s="417"/>
      <c r="FN57" s="417"/>
      <c r="FO57" s="417"/>
      <c r="FP57" s="417"/>
      <c r="FQ57" s="417"/>
      <c r="FR57" s="417"/>
      <c r="FS57" s="417"/>
      <c r="FT57" s="417"/>
      <c r="FU57" s="417"/>
      <c r="FV57" s="417"/>
    </row>
    <row r="58" spans="1:178">
      <c r="C58" s="3"/>
      <c r="D58" s="3"/>
      <c r="E58" s="3"/>
      <c r="F58" s="3"/>
      <c r="G58" s="3"/>
      <c r="H58" s="3"/>
      <c r="I58" s="3"/>
      <c r="J58" s="3"/>
      <c r="K58" s="3"/>
      <c r="L58" s="3"/>
      <c r="M58" s="3"/>
      <c r="N58" s="3"/>
      <c r="CZ58" s="61">
        <v>1600</v>
      </c>
      <c r="DB58" s="61">
        <v>115</v>
      </c>
      <c r="DD58" s="61">
        <v>80</v>
      </c>
      <c r="DF58" s="61">
        <v>80</v>
      </c>
      <c r="DH58" s="61">
        <v>1600</v>
      </c>
      <c r="DJ58" s="61">
        <v>80</v>
      </c>
      <c r="DL58" s="61">
        <v>60</v>
      </c>
      <c r="DN58" s="61">
        <v>60</v>
      </c>
      <c r="DP58" s="61">
        <v>1600</v>
      </c>
      <c r="DR58" s="61">
        <v>167</v>
      </c>
      <c r="DT58" s="61">
        <v>119</v>
      </c>
      <c r="DV58" s="61">
        <v>100</v>
      </c>
      <c r="DX58" s="61">
        <v>1600</v>
      </c>
      <c r="DZ58" s="61">
        <v>100</v>
      </c>
      <c r="EB58" s="61">
        <v>75</v>
      </c>
      <c r="ED58" s="61">
        <v>75</v>
      </c>
      <c r="FK58" s="417"/>
      <c r="FL58" s="417"/>
      <c r="FM58" s="417"/>
      <c r="FN58" s="417"/>
      <c r="FO58" s="417"/>
      <c r="FP58" s="417"/>
      <c r="FQ58" s="417"/>
      <c r="FR58" s="417"/>
      <c r="FS58" s="417"/>
      <c r="FT58" s="417"/>
      <c r="FU58" s="417"/>
      <c r="FV58" s="417"/>
    </row>
    <row r="59" spans="1:178">
      <c r="C59" s="3"/>
      <c r="D59" s="3"/>
      <c r="E59" s="3"/>
      <c r="F59" s="3"/>
      <c r="G59" s="3"/>
      <c r="H59" s="3"/>
      <c r="I59" s="3"/>
      <c r="J59" s="3"/>
      <c r="K59" s="3"/>
      <c r="L59" s="3"/>
      <c r="M59" s="3"/>
      <c r="N59" s="3"/>
      <c r="CZ59" s="61">
        <v>1700</v>
      </c>
      <c r="DB59" s="61">
        <v>115</v>
      </c>
      <c r="DD59" s="61">
        <v>80</v>
      </c>
      <c r="DF59" s="61">
        <v>80</v>
      </c>
      <c r="DH59" s="61">
        <v>1700</v>
      </c>
      <c r="DJ59" s="61">
        <v>80</v>
      </c>
      <c r="DL59" s="61">
        <v>60</v>
      </c>
      <c r="DN59" s="61">
        <v>60</v>
      </c>
      <c r="DP59" s="61">
        <v>1700</v>
      </c>
      <c r="DR59" s="61">
        <v>150</v>
      </c>
      <c r="DT59" s="61">
        <v>103</v>
      </c>
      <c r="DV59" s="61">
        <v>100</v>
      </c>
      <c r="DX59" s="61">
        <v>1700</v>
      </c>
      <c r="DZ59" s="61">
        <v>100</v>
      </c>
      <c r="EB59" s="61">
        <v>75</v>
      </c>
      <c r="ED59" s="61">
        <v>75</v>
      </c>
      <c r="FK59" s="173">
        <v>50</v>
      </c>
      <c r="FL59" s="173">
        <v>65</v>
      </c>
      <c r="FM59" s="173">
        <v>50</v>
      </c>
      <c r="FN59" s="173">
        <v>80</v>
      </c>
      <c r="FO59" s="173">
        <v>50</v>
      </c>
      <c r="FP59" s="173">
        <v>140</v>
      </c>
      <c r="FQ59" s="173">
        <v>50</v>
      </c>
      <c r="FR59" s="173">
        <v>165</v>
      </c>
      <c r="FS59" s="173">
        <v>50</v>
      </c>
      <c r="FT59" s="173">
        <v>190</v>
      </c>
      <c r="FU59" s="173">
        <v>50</v>
      </c>
      <c r="FV59" s="173">
        <v>225</v>
      </c>
    </row>
    <row r="60" spans="1:178">
      <c r="C60" s="3"/>
      <c r="D60" s="3"/>
      <c r="E60" s="3"/>
      <c r="F60" s="3"/>
      <c r="G60" s="3"/>
      <c r="H60" s="3"/>
      <c r="I60" s="3"/>
      <c r="J60" s="3"/>
      <c r="K60" s="3"/>
      <c r="L60" s="3"/>
      <c r="M60" s="3"/>
      <c r="N60" s="3"/>
      <c r="CZ60" s="61">
        <v>1800</v>
      </c>
      <c r="DB60" s="61">
        <v>115</v>
      </c>
      <c r="DD60" s="61">
        <v>80</v>
      </c>
      <c r="DF60" s="61">
        <v>80</v>
      </c>
      <c r="DH60" s="61">
        <v>1800</v>
      </c>
      <c r="DJ60" s="61">
        <v>80</v>
      </c>
      <c r="DL60" s="61">
        <v>60</v>
      </c>
      <c r="DN60" s="61">
        <v>60</v>
      </c>
      <c r="DP60" s="61">
        <v>1800</v>
      </c>
      <c r="DR60" s="61">
        <v>150</v>
      </c>
      <c r="DT60" s="61">
        <v>100</v>
      </c>
      <c r="DV60" s="61">
        <v>100</v>
      </c>
      <c r="DX60" s="61">
        <v>1800</v>
      </c>
      <c r="DZ60" s="61">
        <v>100</v>
      </c>
      <c r="EB60" s="61">
        <v>75</v>
      </c>
      <c r="ED60" s="61">
        <v>75</v>
      </c>
      <c r="FK60" s="173">
        <v>100</v>
      </c>
      <c r="FL60" s="173">
        <v>35</v>
      </c>
      <c r="FM60" s="173">
        <v>100</v>
      </c>
      <c r="FN60" s="173">
        <v>45</v>
      </c>
      <c r="FO60" s="173">
        <v>200</v>
      </c>
      <c r="FP60" s="173">
        <v>70</v>
      </c>
      <c r="FQ60" s="173">
        <v>200</v>
      </c>
      <c r="FR60" s="173">
        <v>110</v>
      </c>
      <c r="FS60" s="173">
        <v>250</v>
      </c>
      <c r="FT60" s="173">
        <v>95</v>
      </c>
      <c r="FU60" s="173">
        <v>300</v>
      </c>
      <c r="FV60" s="173">
        <v>70</v>
      </c>
    </row>
    <row r="61" spans="1:178">
      <c r="C61" s="3"/>
      <c r="D61" s="3"/>
      <c r="E61" s="3"/>
      <c r="F61" s="3"/>
      <c r="G61" s="3"/>
      <c r="H61" s="3"/>
      <c r="I61" s="3"/>
      <c r="J61" s="3"/>
      <c r="K61" s="3"/>
      <c r="L61" s="3"/>
      <c r="M61" s="3"/>
      <c r="N61" s="3"/>
      <c r="FJ61" s="61"/>
      <c r="FK61" s="173">
        <v>150</v>
      </c>
      <c r="FL61" s="173">
        <v>25</v>
      </c>
      <c r="FM61" s="173">
        <v>150</v>
      </c>
      <c r="FN61" s="173">
        <v>25</v>
      </c>
      <c r="FO61" s="173">
        <v>350</v>
      </c>
      <c r="FP61" s="173">
        <v>35</v>
      </c>
      <c r="FQ61" s="173">
        <v>300</v>
      </c>
      <c r="FR61" s="173">
        <v>55</v>
      </c>
      <c r="FS61" s="173">
        <v>300</v>
      </c>
      <c r="FT61" s="173">
        <v>60</v>
      </c>
      <c r="FU61" s="173">
        <v>350</v>
      </c>
      <c r="FV61" s="173">
        <v>55</v>
      </c>
    </row>
    <row r="62" spans="1:178">
      <c r="C62" s="57"/>
      <c r="D62" s="57"/>
      <c r="E62" s="57"/>
      <c r="F62" s="57"/>
      <c r="G62" s="57"/>
      <c r="H62" s="57"/>
      <c r="I62" s="57"/>
      <c r="J62" s="3"/>
      <c r="K62" s="3"/>
      <c r="L62" s="3"/>
      <c r="M62" s="3"/>
      <c r="N62" s="3"/>
      <c r="FJ62" s="61"/>
      <c r="FK62" s="173">
        <v>800</v>
      </c>
      <c r="FL62" s="173">
        <v>25</v>
      </c>
      <c r="FM62" s="173">
        <v>800</v>
      </c>
      <c r="FN62" s="173">
        <v>25</v>
      </c>
      <c r="FO62" s="173">
        <v>400</v>
      </c>
      <c r="FP62" s="173">
        <v>28</v>
      </c>
      <c r="FQ62" s="173">
        <v>350</v>
      </c>
      <c r="FR62" s="173">
        <v>50</v>
      </c>
      <c r="FS62" s="173">
        <v>350</v>
      </c>
      <c r="FT62" s="173">
        <v>55</v>
      </c>
      <c r="FU62" s="173">
        <v>450</v>
      </c>
      <c r="FV62" s="173">
        <v>25</v>
      </c>
    </row>
    <row r="63" spans="1:178">
      <c r="C63" s="3"/>
      <c r="D63" s="3"/>
      <c r="E63" s="3"/>
      <c r="F63" s="103"/>
      <c r="G63" s="103"/>
      <c r="H63" s="103"/>
      <c r="I63" s="103"/>
      <c r="J63" s="3"/>
      <c r="K63" s="3"/>
      <c r="L63" s="3"/>
      <c r="M63" s="3"/>
      <c r="N63" s="3"/>
      <c r="FK63" s="173"/>
      <c r="FL63" s="173"/>
      <c r="FM63" s="173"/>
      <c r="FN63" s="173"/>
      <c r="FO63" s="173">
        <v>450</v>
      </c>
      <c r="FP63" s="173">
        <v>25</v>
      </c>
      <c r="FQ63" s="173">
        <v>450</v>
      </c>
      <c r="FR63" s="195">
        <v>25</v>
      </c>
      <c r="FS63" s="173">
        <v>450</v>
      </c>
      <c r="FT63" s="173">
        <v>25</v>
      </c>
      <c r="FU63" s="173">
        <v>800</v>
      </c>
      <c r="FV63" s="173">
        <v>25</v>
      </c>
    </row>
    <row r="64" spans="1:178">
      <c r="C64" s="3"/>
      <c r="D64" s="3"/>
      <c r="E64" s="3"/>
      <c r="F64" s="3"/>
      <c r="G64" s="3"/>
      <c r="H64" s="3"/>
      <c r="I64" s="3"/>
      <c r="J64" s="3"/>
      <c r="K64" s="3"/>
      <c r="L64" s="3"/>
      <c r="M64" s="3"/>
      <c r="N64" s="3"/>
      <c r="FK64" s="173"/>
      <c r="FL64" s="173"/>
      <c r="FM64" s="173"/>
      <c r="FN64" s="173"/>
      <c r="FO64" s="173">
        <v>800</v>
      </c>
      <c r="FP64" s="173">
        <v>25</v>
      </c>
      <c r="FQ64" s="173">
        <v>800</v>
      </c>
      <c r="FR64" s="195">
        <v>25</v>
      </c>
      <c r="FS64" s="173">
        <v>800</v>
      </c>
      <c r="FT64" s="173">
        <v>25</v>
      </c>
      <c r="FU64" s="173"/>
      <c r="FV64" s="173"/>
    </row>
    <row r="65" spans="3:178" ht="13.5" customHeight="1">
      <c r="C65" s="3"/>
      <c r="D65" s="3"/>
      <c r="E65" s="3"/>
      <c r="F65" s="3"/>
      <c r="G65" s="3"/>
      <c r="H65" s="3"/>
      <c r="I65" s="3"/>
      <c r="J65" s="3"/>
      <c r="K65" s="3"/>
      <c r="L65" s="3"/>
      <c r="M65" s="3"/>
      <c r="N65" s="3"/>
    </row>
    <row r="66" spans="3:178">
      <c r="C66" s="3"/>
      <c r="D66" s="3"/>
      <c r="E66" s="3"/>
      <c r="F66" s="3"/>
      <c r="G66" s="3"/>
      <c r="H66" s="3"/>
      <c r="I66" s="3"/>
      <c r="J66" s="3"/>
      <c r="K66" s="3"/>
      <c r="L66" s="3"/>
      <c r="M66" s="3"/>
      <c r="N66" s="3"/>
      <c r="FK66" s="389" t="s">
        <v>333</v>
      </c>
      <c r="FL66" s="389"/>
      <c r="FM66" s="389"/>
      <c r="FN66" s="389"/>
      <c r="FO66" s="389"/>
      <c r="FP66" s="389"/>
      <c r="FQ66" s="389"/>
      <c r="FR66" s="389"/>
      <c r="FS66" s="389"/>
      <c r="FT66" s="389"/>
      <c r="FU66" s="389"/>
      <c r="FV66" s="389"/>
    </row>
    <row r="67" spans="3:178">
      <c r="C67" s="3"/>
      <c r="D67" s="3"/>
      <c r="E67" s="3"/>
      <c r="F67" s="3"/>
      <c r="G67" s="3"/>
      <c r="H67" s="3"/>
      <c r="I67" s="3"/>
      <c r="J67" s="3"/>
      <c r="K67" s="3"/>
      <c r="L67" s="3"/>
      <c r="M67" s="3"/>
      <c r="N67" s="3"/>
      <c r="FK67" s="389" t="s">
        <v>326</v>
      </c>
      <c r="FL67" s="389"/>
      <c r="FM67" s="389" t="s">
        <v>325</v>
      </c>
      <c r="FN67" s="389"/>
      <c r="FO67" s="389" t="s">
        <v>324</v>
      </c>
      <c r="FP67" s="389"/>
      <c r="FQ67" s="389" t="s">
        <v>323</v>
      </c>
      <c r="FR67" s="389"/>
      <c r="FS67" s="389" t="s">
        <v>322</v>
      </c>
      <c r="FT67" s="389"/>
      <c r="FU67" s="389" t="s">
        <v>321</v>
      </c>
      <c r="FV67" s="389"/>
    </row>
    <row r="68" spans="3:178" ht="12.75" customHeight="1">
      <c r="C68" s="3"/>
      <c r="D68" s="3"/>
      <c r="E68" s="3"/>
      <c r="F68" s="3"/>
      <c r="G68" s="3"/>
      <c r="H68" s="3"/>
      <c r="I68" s="3"/>
      <c r="J68" s="3"/>
      <c r="K68" s="3"/>
      <c r="L68" s="3"/>
      <c r="M68" s="3"/>
      <c r="N68" s="3"/>
      <c r="FK68" s="417" t="s">
        <v>327</v>
      </c>
      <c r="FL68" s="417" t="s">
        <v>395</v>
      </c>
      <c r="FM68" s="417" t="s">
        <v>327</v>
      </c>
      <c r="FN68" s="417" t="s">
        <v>395</v>
      </c>
      <c r="FO68" s="417" t="s">
        <v>327</v>
      </c>
      <c r="FP68" s="417" t="s">
        <v>395</v>
      </c>
      <c r="FQ68" s="417" t="s">
        <v>327</v>
      </c>
      <c r="FR68" s="417" t="s">
        <v>395</v>
      </c>
      <c r="FS68" s="417" t="s">
        <v>327</v>
      </c>
      <c r="FT68" s="417" t="s">
        <v>395</v>
      </c>
      <c r="FU68" s="417" t="s">
        <v>327</v>
      </c>
      <c r="FV68" s="417" t="s">
        <v>395</v>
      </c>
    </row>
    <row r="69" spans="3:178">
      <c r="C69" s="3"/>
      <c r="D69" s="3"/>
      <c r="E69" s="3"/>
      <c r="F69" s="3"/>
      <c r="G69" s="3"/>
      <c r="H69" s="3"/>
      <c r="I69" s="3"/>
      <c r="J69" s="3"/>
      <c r="K69" s="3"/>
      <c r="L69" s="3"/>
      <c r="M69" s="3"/>
      <c r="N69" s="3"/>
      <c r="FK69" s="417"/>
      <c r="FL69" s="417"/>
      <c r="FM69" s="417"/>
      <c r="FN69" s="417"/>
      <c r="FO69" s="417"/>
      <c r="FP69" s="417"/>
      <c r="FQ69" s="417"/>
      <c r="FR69" s="417"/>
      <c r="FS69" s="417"/>
      <c r="FT69" s="417"/>
      <c r="FU69" s="417"/>
      <c r="FV69" s="417"/>
    </row>
    <row r="70" spans="3:178">
      <c r="C70" s="3"/>
      <c r="D70" s="3"/>
      <c r="E70" s="3"/>
      <c r="F70" s="3"/>
      <c r="G70" s="3"/>
      <c r="H70" s="3"/>
      <c r="I70" s="3"/>
      <c r="J70" s="3"/>
      <c r="K70" s="3"/>
      <c r="L70" s="3"/>
      <c r="M70" s="3"/>
      <c r="N70" s="3"/>
      <c r="FK70" s="417"/>
      <c r="FL70" s="417"/>
      <c r="FM70" s="417"/>
      <c r="FN70" s="417"/>
      <c r="FO70" s="417"/>
      <c r="FP70" s="417"/>
      <c r="FQ70" s="417"/>
      <c r="FR70" s="417"/>
      <c r="FS70" s="417"/>
      <c r="FT70" s="417"/>
      <c r="FU70" s="417"/>
      <c r="FV70" s="417"/>
    </row>
    <row r="71" spans="3:178">
      <c r="C71" s="3"/>
      <c r="D71" s="3"/>
      <c r="E71" s="3"/>
      <c r="F71" s="3"/>
      <c r="G71" s="3"/>
      <c r="H71" s="3"/>
      <c r="I71" s="3"/>
      <c r="J71" s="3"/>
      <c r="K71" s="3"/>
      <c r="L71" s="3"/>
      <c r="M71" s="3"/>
      <c r="N71" s="3"/>
      <c r="FK71" s="417"/>
      <c r="FL71" s="417"/>
      <c r="FM71" s="417"/>
      <c r="FN71" s="417"/>
      <c r="FO71" s="417"/>
      <c r="FP71" s="417"/>
      <c r="FQ71" s="417"/>
      <c r="FR71" s="417"/>
      <c r="FS71" s="417"/>
      <c r="FT71" s="417"/>
      <c r="FU71" s="417"/>
      <c r="FV71" s="417"/>
    </row>
    <row r="72" spans="3:178">
      <c r="C72" s="3"/>
      <c r="D72" s="3"/>
      <c r="E72" s="3"/>
      <c r="F72" s="3"/>
      <c r="G72" s="3"/>
      <c r="H72" s="3"/>
      <c r="I72" s="3"/>
      <c r="J72" s="3"/>
      <c r="K72" s="3"/>
      <c r="L72" s="3"/>
      <c r="M72" s="3"/>
      <c r="N72" s="3"/>
      <c r="FK72" s="417"/>
      <c r="FL72" s="417"/>
      <c r="FM72" s="417"/>
      <c r="FN72" s="417"/>
      <c r="FO72" s="417"/>
      <c r="FP72" s="417"/>
      <c r="FQ72" s="417"/>
      <c r="FR72" s="417"/>
      <c r="FS72" s="417"/>
      <c r="FT72" s="417"/>
      <c r="FU72" s="417"/>
      <c r="FV72" s="417"/>
    </row>
    <row r="73" spans="3:178">
      <c r="C73" s="3"/>
      <c r="D73" s="3"/>
      <c r="E73" s="3"/>
      <c r="F73" s="3"/>
      <c r="G73" s="3"/>
      <c r="H73" s="3"/>
      <c r="I73" s="3"/>
      <c r="J73" s="3"/>
      <c r="K73" s="3"/>
      <c r="L73" s="3"/>
      <c r="M73" s="3"/>
      <c r="N73" s="3"/>
      <c r="FK73" s="154">
        <v>50</v>
      </c>
      <c r="FL73" s="154">
        <v>65</v>
      </c>
      <c r="FM73" s="154">
        <v>50</v>
      </c>
      <c r="FN73" s="154">
        <v>80</v>
      </c>
      <c r="FO73" s="154">
        <v>100</v>
      </c>
      <c r="FP73" s="154">
        <v>190</v>
      </c>
      <c r="FQ73" s="154">
        <v>100</v>
      </c>
      <c r="FR73" s="154">
        <v>230</v>
      </c>
      <c r="FS73" s="154">
        <v>100</v>
      </c>
      <c r="FT73" s="154">
        <v>265</v>
      </c>
      <c r="FU73" s="154">
        <v>100</v>
      </c>
      <c r="FV73" s="154">
        <v>320</v>
      </c>
    </row>
    <row r="74" spans="3:178">
      <c r="C74" s="3"/>
      <c r="D74" s="3"/>
      <c r="E74" s="3"/>
      <c r="F74" s="3"/>
      <c r="G74" s="3"/>
      <c r="H74" s="3"/>
      <c r="I74" s="3"/>
      <c r="J74" s="3"/>
      <c r="K74" s="3"/>
      <c r="L74" s="3"/>
      <c r="M74" s="3"/>
      <c r="N74" s="3"/>
      <c r="FK74" s="154">
        <v>100</v>
      </c>
      <c r="FL74" s="154">
        <v>35</v>
      </c>
      <c r="FM74" s="154">
        <v>100</v>
      </c>
      <c r="FN74" s="154">
        <v>45</v>
      </c>
      <c r="FO74" s="154">
        <v>200</v>
      </c>
      <c r="FP74" s="154">
        <v>80</v>
      </c>
      <c r="FQ74" s="154">
        <v>150</v>
      </c>
      <c r="FR74" s="154">
        <v>195</v>
      </c>
      <c r="FS74" s="154">
        <v>350</v>
      </c>
      <c r="FT74" s="154">
        <v>95</v>
      </c>
      <c r="FU74" s="154">
        <v>150</v>
      </c>
      <c r="FV74" s="154">
        <v>255</v>
      </c>
    </row>
    <row r="75" spans="3:178">
      <c r="C75" s="3"/>
      <c r="D75" s="3"/>
      <c r="E75" s="3"/>
      <c r="F75" s="3"/>
      <c r="G75" s="3"/>
      <c r="H75" s="3"/>
      <c r="I75" s="3"/>
      <c r="J75" s="3"/>
      <c r="K75" s="3"/>
      <c r="L75" s="3"/>
      <c r="M75" s="3"/>
      <c r="N75" s="3"/>
      <c r="FK75" s="154">
        <v>150</v>
      </c>
      <c r="FL75" s="154">
        <v>25</v>
      </c>
      <c r="FM75" s="154">
        <v>150</v>
      </c>
      <c r="FN75" s="154">
        <v>25</v>
      </c>
      <c r="FO75" s="154">
        <v>350</v>
      </c>
      <c r="FP75" s="154">
        <v>40</v>
      </c>
      <c r="FQ75" s="154">
        <v>250</v>
      </c>
      <c r="FR75" s="154">
        <v>110</v>
      </c>
      <c r="FS75" s="154">
        <v>400</v>
      </c>
      <c r="FT75" s="154">
        <v>50</v>
      </c>
      <c r="FU75" s="154">
        <v>350</v>
      </c>
      <c r="FV75" s="154">
        <v>105</v>
      </c>
    </row>
    <row r="76" spans="3:178">
      <c r="C76" s="3"/>
      <c r="D76" s="3"/>
      <c r="E76" s="15"/>
      <c r="F76" s="3"/>
      <c r="G76" s="3"/>
      <c r="H76" s="3"/>
      <c r="I76" s="3"/>
      <c r="J76" s="3"/>
      <c r="K76" s="3"/>
      <c r="L76" s="3"/>
      <c r="M76" s="3"/>
      <c r="N76" s="3"/>
      <c r="FK76" s="154">
        <v>800</v>
      </c>
      <c r="FL76" s="158">
        <v>25</v>
      </c>
      <c r="FM76" s="154">
        <v>800</v>
      </c>
      <c r="FN76" s="158">
        <v>25</v>
      </c>
      <c r="FO76" s="154">
        <v>450</v>
      </c>
      <c r="FP76" s="154">
        <v>25</v>
      </c>
      <c r="FQ76" s="154">
        <v>350</v>
      </c>
      <c r="FR76" s="154">
        <v>60</v>
      </c>
      <c r="FS76" s="158">
        <v>450</v>
      </c>
      <c r="FT76" s="158">
        <v>30</v>
      </c>
      <c r="FU76" s="154">
        <v>400</v>
      </c>
      <c r="FV76" s="154">
        <v>55</v>
      </c>
    </row>
    <row r="77" spans="3:178">
      <c r="C77" s="3"/>
      <c r="D77" s="3"/>
      <c r="E77" s="3"/>
      <c r="F77" s="3"/>
      <c r="G77" s="3"/>
      <c r="H77" s="3"/>
      <c r="I77" s="3"/>
      <c r="J77" s="3"/>
      <c r="K77" s="3"/>
      <c r="L77" s="3"/>
      <c r="M77" s="3"/>
      <c r="N77" s="3"/>
      <c r="FK77" s="154"/>
      <c r="FL77" s="158"/>
      <c r="FM77" s="154"/>
      <c r="FN77" s="154"/>
      <c r="FO77" s="154">
        <v>800</v>
      </c>
      <c r="FP77" s="158">
        <v>25</v>
      </c>
      <c r="FQ77" s="158">
        <v>400</v>
      </c>
      <c r="FR77" s="158">
        <v>45</v>
      </c>
      <c r="FS77" s="154">
        <v>600</v>
      </c>
      <c r="FT77" s="154">
        <v>25</v>
      </c>
      <c r="FU77" s="158">
        <v>450</v>
      </c>
      <c r="FV77" s="158">
        <v>35</v>
      </c>
    </row>
    <row r="78" spans="3:178">
      <c r="FK78" s="154"/>
      <c r="FL78" s="158"/>
      <c r="FM78" s="154"/>
      <c r="FN78" s="154"/>
      <c r="FQ78" s="154">
        <v>450</v>
      </c>
      <c r="FR78" s="154">
        <v>25</v>
      </c>
      <c r="FS78" s="154">
        <v>800</v>
      </c>
      <c r="FT78" s="158">
        <v>25</v>
      </c>
      <c r="FU78" s="154">
        <v>500</v>
      </c>
      <c r="FV78" s="154">
        <v>30</v>
      </c>
    </row>
    <row r="79" spans="3:178">
      <c r="FK79" s="154"/>
      <c r="FL79" s="158"/>
      <c r="FM79" s="154"/>
      <c r="FN79" s="154"/>
      <c r="FQ79" s="154">
        <v>800</v>
      </c>
      <c r="FR79" s="158">
        <v>25</v>
      </c>
      <c r="FU79" s="154">
        <v>600</v>
      </c>
      <c r="FV79" s="154">
        <v>25</v>
      </c>
    </row>
    <row r="80" spans="3:178">
      <c r="FK80" s="154"/>
      <c r="FL80" s="158"/>
      <c r="FM80" s="154"/>
      <c r="FN80" s="154"/>
      <c r="FO80" s="154"/>
      <c r="FP80" s="154"/>
      <c r="FQ80" s="154"/>
      <c r="FR80" s="154"/>
      <c r="FU80" s="154">
        <v>800</v>
      </c>
      <c r="FV80" s="158">
        <v>25</v>
      </c>
    </row>
    <row r="82" spans="166:176">
      <c r="FK82" s="154"/>
      <c r="FL82" s="158"/>
      <c r="FM82" s="154"/>
      <c r="FN82" s="154"/>
      <c r="FO82" s="154"/>
      <c r="FP82" s="154"/>
      <c r="FQ82" s="154"/>
      <c r="FR82" s="154"/>
      <c r="FS82" s="154"/>
      <c r="FT82" s="154"/>
    </row>
    <row r="83" spans="166:176">
      <c r="FK83" t="s">
        <v>331</v>
      </c>
    </row>
    <row r="84" spans="166:176">
      <c r="FK84" t="s">
        <v>332</v>
      </c>
    </row>
    <row r="86" spans="166:176">
      <c r="FN86" s="166" t="s">
        <v>335</v>
      </c>
    </row>
    <row r="87" spans="166:176">
      <c r="FN87" t="s">
        <v>336</v>
      </c>
      <c r="FO87" t="s">
        <v>337</v>
      </c>
    </row>
    <row r="88" spans="166:176">
      <c r="FK88">
        <f>'Wrnt 9 Input'!B15</f>
        <v>0</v>
      </c>
      <c r="FL88" s="166">
        <f>IF(FK88&lt;1,0.67,LOOKUP(FK88,FO88:FO93,FP88:FP93))</f>
        <v>0.67</v>
      </c>
      <c r="FN88" s="154">
        <v>1</v>
      </c>
      <c r="FO88">
        <v>1</v>
      </c>
      <c r="FP88" s="154">
        <v>0.67</v>
      </c>
    </row>
    <row r="89" spans="166:176">
      <c r="FN89" s="154">
        <v>2</v>
      </c>
      <c r="FO89">
        <v>2</v>
      </c>
      <c r="FP89" s="154">
        <v>0.91</v>
      </c>
    </row>
    <row r="90" spans="166:176">
      <c r="FN90" s="154" t="s">
        <v>338</v>
      </c>
      <c r="FO90">
        <v>3</v>
      </c>
      <c r="FP90" s="154">
        <v>1</v>
      </c>
    </row>
    <row r="91" spans="166:176">
      <c r="FN91" s="154" t="s">
        <v>339</v>
      </c>
      <c r="FO91">
        <v>6</v>
      </c>
      <c r="FP91" s="154">
        <v>1.18</v>
      </c>
    </row>
    <row r="92" spans="166:176">
      <c r="FN92" s="154" t="s">
        <v>340</v>
      </c>
      <c r="FO92">
        <v>9</v>
      </c>
      <c r="FP92" s="154">
        <v>1.25</v>
      </c>
    </row>
    <row r="93" spans="166:176">
      <c r="FN93" s="154" t="s">
        <v>341</v>
      </c>
      <c r="FO93">
        <v>12</v>
      </c>
      <c r="FP93" s="154">
        <v>1.33</v>
      </c>
    </row>
    <row r="94" spans="166:176">
      <c r="FJ94" s="31"/>
    </row>
    <row r="95" spans="166:176">
      <c r="FJ95" s="31"/>
      <c r="FN95" s="117" t="s">
        <v>342</v>
      </c>
    </row>
    <row r="96" spans="166:176">
      <c r="FN96" t="s">
        <v>343</v>
      </c>
      <c r="FO96" t="s">
        <v>337</v>
      </c>
    </row>
    <row r="97" spans="166:173">
      <c r="FJ97" s="146"/>
      <c r="FN97" t="s">
        <v>344</v>
      </c>
    </row>
    <row r="98" spans="166:173">
      <c r="FJ98" s="146"/>
      <c r="FK98">
        <f>'Wrnt 9 Input'!B17</f>
        <v>0</v>
      </c>
      <c r="FL98" s="166">
        <f>LOOKUP(FK98,FO98:FO101,FP98:FP101)</f>
        <v>1</v>
      </c>
      <c r="FN98" s="154">
        <v>0</v>
      </c>
      <c r="FO98">
        <v>0</v>
      </c>
      <c r="FP98" s="154">
        <v>1</v>
      </c>
    </row>
    <row r="99" spans="166:173">
      <c r="FJ99" s="146"/>
      <c r="FN99" s="154">
        <v>0.02</v>
      </c>
      <c r="FO99">
        <v>2</v>
      </c>
      <c r="FP99" s="154">
        <v>1.0900000000000001</v>
      </c>
    </row>
    <row r="100" spans="166:173">
      <c r="FJ100" s="147"/>
      <c r="FN100" s="154">
        <v>0.04</v>
      </c>
      <c r="FO100">
        <v>4</v>
      </c>
      <c r="FP100" s="154">
        <v>1.19</v>
      </c>
    </row>
    <row r="101" spans="166:173">
      <c r="FJ101" s="147"/>
      <c r="FN101" s="154" t="s">
        <v>345</v>
      </c>
      <c r="FO101">
        <v>6</v>
      </c>
      <c r="FP101" s="154">
        <v>1.32</v>
      </c>
    </row>
    <row r="102" spans="166:173">
      <c r="FJ102" s="147"/>
      <c r="FP102" s="158"/>
    </row>
    <row r="103" spans="166:173">
      <c r="FJ103" s="147"/>
      <c r="FN103" s="117" t="s">
        <v>346</v>
      </c>
    </row>
    <row r="104" spans="166:173">
      <c r="FJ104" s="147"/>
      <c r="FN104" t="s">
        <v>347</v>
      </c>
      <c r="FO104" t="s">
        <v>337</v>
      </c>
    </row>
    <row r="105" spans="166:173">
      <c r="FJ105" s="147"/>
      <c r="FN105" t="s">
        <v>344</v>
      </c>
      <c r="FP105" t="s">
        <v>348</v>
      </c>
      <c r="FQ105" t="s">
        <v>349</v>
      </c>
    </row>
    <row r="106" spans="166:173">
      <c r="FJ106" s="147"/>
      <c r="FK106">
        <f>'Wrnt 9 Input'!B19</f>
        <v>0</v>
      </c>
      <c r="FL106">
        <f>IF('Wrnt 9 Input'!B13&lt;70,LOOKUP(FK106,FO106:FO112,FP106:FP112),LOOKUP(FK106,FO106:FO112,FQ106:FQ112))</f>
        <v>0.5</v>
      </c>
      <c r="FN106" s="154" t="s">
        <v>350</v>
      </c>
      <c r="FO106">
        <v>0</v>
      </c>
      <c r="FP106" s="154">
        <v>0.5</v>
      </c>
      <c r="FQ106" s="154">
        <v>0.5</v>
      </c>
    </row>
    <row r="107" spans="166:173">
      <c r="FJ107" s="147"/>
      <c r="FN107" s="154" t="s">
        <v>351</v>
      </c>
      <c r="FO107">
        <v>2.6</v>
      </c>
      <c r="FP107" s="154">
        <v>0.75</v>
      </c>
      <c r="FQ107" s="154">
        <v>0.75</v>
      </c>
    </row>
    <row r="108" spans="166:173">
      <c r="FJ108" s="147"/>
      <c r="FN108" s="154" t="s">
        <v>352</v>
      </c>
      <c r="FO108">
        <v>7.6</v>
      </c>
      <c r="FP108" s="154">
        <v>1</v>
      </c>
      <c r="FQ108" s="154">
        <v>1</v>
      </c>
    </row>
    <row r="109" spans="166:173">
      <c r="FJ109" s="147"/>
      <c r="FN109" s="154" t="s">
        <v>353</v>
      </c>
      <c r="FO109">
        <v>12.6</v>
      </c>
      <c r="FP109" s="154">
        <v>2.2999999999999998</v>
      </c>
      <c r="FQ109" s="154">
        <v>1.1499999999999999</v>
      </c>
    </row>
    <row r="110" spans="166:173">
      <c r="FJ110" s="147"/>
      <c r="FN110" s="154" t="s">
        <v>354</v>
      </c>
      <c r="FO110">
        <v>17.600000000000001</v>
      </c>
      <c r="FP110" s="154">
        <v>2.7</v>
      </c>
      <c r="FQ110" s="154">
        <v>1.35</v>
      </c>
    </row>
    <row r="111" spans="166:173">
      <c r="FJ111" s="147"/>
      <c r="FN111" s="154" t="s">
        <v>355</v>
      </c>
      <c r="FO111">
        <v>22.6</v>
      </c>
      <c r="FP111" s="154">
        <v>3.28</v>
      </c>
      <c r="FQ111" s="154">
        <v>1.64</v>
      </c>
    </row>
    <row r="112" spans="166:173">
      <c r="FJ112" s="146"/>
      <c r="FN112" s="154" t="s">
        <v>356</v>
      </c>
      <c r="FO112">
        <v>27.6</v>
      </c>
      <c r="FP112" s="154">
        <v>4.18</v>
      </c>
      <c r="FQ112" s="154">
        <v>2.09</v>
      </c>
    </row>
    <row r="114" spans="166:166">
      <c r="FJ114" s="61"/>
    </row>
    <row r="153" spans="168:178">
      <c r="FL153" s="184" t="str">
        <f t="shared" ref="FL153:FL165" si="113">IF($FK18&lt;FK$73,"N/A",IF($FK18&lt;FK$74,FL$73-($FK18-FK$73)/(FK$74-FK$73)*(FL$73-FL$74),IF($FK18&lt;FK$75,FL$74-($FK18-FK$74)/(FK$75-FK$74)*(FL$74-FL$75),25)))</f>
        <v>N/A</v>
      </c>
      <c r="FN153" s="184" t="str">
        <f t="shared" ref="FN153:FN165" si="114">IF($FK18&lt;FM$73,"N/A",IF($FK18&lt;FM$74,FN$73-($FK18-FM$73)/(FM$74-FM$73)*(FN$73-FN$74),IF($FK18&lt;FM$75,FN$74-($FK18-FM$74)/(FM$75-FM$74)*(FN$74-FN$75),25)))</f>
        <v>N/A</v>
      </c>
      <c r="FP153" s="184" t="str">
        <f t="shared" ref="FP153:FP165" si="115">IF($FK18&lt;FO$73,"N/A",IF($FK18&lt;FO$74,FP$73-($FK18-FO$73)/(FO$74-FO$73)*(FP$73-FP$74),IF($FK18&lt;FO$75,FP$74-($FK18-FO$74)/(FO$75-FO$74)*(FP$75-FP$74),IF($FK18&lt;FO$76,FP$75-($FK18-FO$75)/(FO$76-FO$75)*(FP$75-FP$76),25))))</f>
        <v>N/A</v>
      </c>
      <c r="FR153" s="184" t="str">
        <f t="shared" ref="FR153:FR165" si="116">IF($FK18&lt;FQ$73,"N/A",IF($FK18&lt;FQ$74,FR$73-($FK18-FQ$73)/(FQ$74-FQ$73)*(FR$73-FR$74),IF($FK18&lt;FQ$75,FR$74-($FK18-FQ$74)/(FQ$75-FQ$74)*(FR$75-FR$74),IF($FK18&lt;FQ$76,FR$75-($FK18-FQ$75)/(FQ$76-FQ$75)*(FR$75-FR$76),IF($FK18&lt;FQ$77,FR$75-($FK18-FQ$76)/(FQ$77-FQ$76)*(FR$76-FR$77),IF($FK18&lt;FQ$78,FR$76-($FK18-FQ$77)/(FQ$78-FQ$77)*(FR$77-FR$78),25))))))</f>
        <v>N/A</v>
      </c>
      <c r="FT153" s="184" t="str">
        <f t="shared" ref="FT153:FT165" si="117">IF($FK18&lt;FS$73,"N/A",IF($FK18&lt;FS$74,FT$73-($FK18-FS$73)/(FS$74-FS$73)*(FT$73-FT$74),IF($FK18&lt;FS$75,FT$74-($FK18-FS$74)/(FS$75-FS$74)*(FT$75-FT$74),IF($FK18&lt;FS$76,FT$75-($FK18-FS$75)/(FS$76-FS$75)*(FT$75-FT$76),IF($FK18&lt;FS$77,FT$75-($FK18-FS$76)/(FS$77-FS$76)*(FT$76-FT$77),25)))))</f>
        <v>N/A</v>
      </c>
      <c r="FV153" s="184" t="str">
        <f t="shared" ref="FV153:FV165" si="118">IF($FK18&lt;FU$73,"N/A",IF($FK18&lt;FU$74,FV$73-($FK18-FU$73)/(FU$74-FU$73)*(FV$73-FV$74),IF($FK18&lt;FU$75,FV$74-($FK18-FU$74)/(FU$75-FU$74)*(FV$75-FV$74),IF($FK18&lt;FU$76,FV$75-($FK18-FU$75)/(FU$76-FU$75)*(FV$75-FV$76),IF($FK18&lt;FU$77,FV$75-($FK18-FU$76)/(FU$77-FU$76)*(FV$76-FV$77),IF($FK18&lt;FU$78,FV$76-($FK18-FU$77)/(FU$78-FU$77)*(FV$77-FV$78),IF($FK18&lt;FU$79,FV$77-($FK18-FU$78)/(FU$79-FU$78)*(FV$78-FV$79),25)))))))</f>
        <v>N/A</v>
      </c>
    </row>
    <row r="154" spans="168:178">
      <c r="FL154" s="184" t="str">
        <f t="shared" si="113"/>
        <v>N/A</v>
      </c>
      <c r="FN154" s="184" t="str">
        <f t="shared" si="114"/>
        <v>N/A</v>
      </c>
      <c r="FP154" s="184" t="str">
        <f t="shared" si="115"/>
        <v>N/A</v>
      </c>
      <c r="FR154" s="184" t="str">
        <f t="shared" si="116"/>
        <v>N/A</v>
      </c>
      <c r="FT154" s="184" t="str">
        <f t="shared" si="117"/>
        <v>N/A</v>
      </c>
      <c r="FV154" s="184" t="str">
        <f t="shared" si="118"/>
        <v>N/A</v>
      </c>
    </row>
    <row r="155" spans="168:178">
      <c r="FL155" s="184" t="str">
        <f t="shared" si="113"/>
        <v>N/A</v>
      </c>
      <c r="FN155" s="184" t="str">
        <f t="shared" si="114"/>
        <v>N/A</v>
      </c>
      <c r="FP155" s="184" t="str">
        <f t="shared" si="115"/>
        <v>N/A</v>
      </c>
      <c r="FR155" s="184" t="str">
        <f t="shared" si="116"/>
        <v>N/A</v>
      </c>
      <c r="FT155" s="184" t="str">
        <f t="shared" si="117"/>
        <v>N/A</v>
      </c>
      <c r="FV155" s="184" t="str">
        <f t="shared" si="118"/>
        <v>N/A</v>
      </c>
    </row>
    <row r="156" spans="168:178">
      <c r="FL156" s="184" t="str">
        <f t="shared" si="113"/>
        <v>N/A</v>
      </c>
      <c r="FN156" s="184" t="str">
        <f t="shared" si="114"/>
        <v>N/A</v>
      </c>
      <c r="FP156" s="184" t="str">
        <f t="shared" si="115"/>
        <v>N/A</v>
      </c>
      <c r="FR156" s="184" t="str">
        <f t="shared" si="116"/>
        <v>N/A</v>
      </c>
      <c r="FT156" s="184" t="str">
        <f t="shared" si="117"/>
        <v>N/A</v>
      </c>
      <c r="FV156" s="184" t="str">
        <f t="shared" si="118"/>
        <v>N/A</v>
      </c>
    </row>
    <row r="157" spans="168:178">
      <c r="FL157" s="184" t="str">
        <f t="shared" si="113"/>
        <v>N/A</v>
      </c>
      <c r="FN157" s="184" t="str">
        <f t="shared" si="114"/>
        <v>N/A</v>
      </c>
      <c r="FP157" s="184" t="str">
        <f t="shared" si="115"/>
        <v>N/A</v>
      </c>
      <c r="FR157" s="184" t="str">
        <f t="shared" si="116"/>
        <v>N/A</v>
      </c>
      <c r="FT157" s="184" t="str">
        <f t="shared" si="117"/>
        <v>N/A</v>
      </c>
      <c r="FV157" s="184" t="str">
        <f t="shared" si="118"/>
        <v>N/A</v>
      </c>
    </row>
    <row r="158" spans="168:178">
      <c r="FL158" s="184" t="str">
        <f t="shared" si="113"/>
        <v>N/A</v>
      </c>
      <c r="FN158" s="184" t="str">
        <f t="shared" si="114"/>
        <v>N/A</v>
      </c>
      <c r="FP158" s="184" t="str">
        <f t="shared" si="115"/>
        <v>N/A</v>
      </c>
      <c r="FR158" s="184" t="str">
        <f t="shared" si="116"/>
        <v>N/A</v>
      </c>
      <c r="FT158" s="184" t="str">
        <f t="shared" si="117"/>
        <v>N/A</v>
      </c>
      <c r="FV158" s="184" t="str">
        <f t="shared" si="118"/>
        <v>N/A</v>
      </c>
    </row>
    <row r="159" spans="168:178">
      <c r="FL159" s="184" t="str">
        <f t="shared" si="113"/>
        <v>N/A</v>
      </c>
      <c r="FN159" s="184" t="str">
        <f t="shared" si="114"/>
        <v>N/A</v>
      </c>
      <c r="FP159" s="184" t="str">
        <f t="shared" si="115"/>
        <v>N/A</v>
      </c>
      <c r="FR159" s="184" t="str">
        <f t="shared" si="116"/>
        <v>N/A</v>
      </c>
      <c r="FT159" s="184" t="str">
        <f t="shared" si="117"/>
        <v>N/A</v>
      </c>
      <c r="FV159" s="184" t="str">
        <f t="shared" si="118"/>
        <v>N/A</v>
      </c>
    </row>
    <row r="160" spans="168:178">
      <c r="FL160" s="184" t="str">
        <f t="shared" si="113"/>
        <v>N/A</v>
      </c>
      <c r="FN160" s="184" t="str">
        <f t="shared" si="114"/>
        <v>N/A</v>
      </c>
      <c r="FP160" s="184" t="str">
        <f t="shared" si="115"/>
        <v>N/A</v>
      </c>
      <c r="FR160" s="184" t="str">
        <f t="shared" si="116"/>
        <v>N/A</v>
      </c>
      <c r="FT160" s="184" t="str">
        <f t="shared" si="117"/>
        <v>N/A</v>
      </c>
      <c r="FV160" s="184" t="str">
        <f t="shared" si="118"/>
        <v>N/A</v>
      </c>
    </row>
    <row r="161" spans="168:178">
      <c r="FL161" s="184" t="str">
        <f t="shared" si="113"/>
        <v>N/A</v>
      </c>
      <c r="FN161" s="184" t="str">
        <f t="shared" si="114"/>
        <v>N/A</v>
      </c>
      <c r="FP161" s="184" t="str">
        <f t="shared" si="115"/>
        <v>N/A</v>
      </c>
      <c r="FR161" s="184" t="str">
        <f t="shared" si="116"/>
        <v>N/A</v>
      </c>
      <c r="FT161" s="184" t="str">
        <f t="shared" si="117"/>
        <v>N/A</v>
      </c>
      <c r="FV161" s="184" t="str">
        <f t="shared" si="118"/>
        <v>N/A</v>
      </c>
    </row>
    <row r="162" spans="168:178">
      <c r="FL162" s="184" t="str">
        <f t="shared" si="113"/>
        <v>N/A</v>
      </c>
      <c r="FN162" s="184" t="str">
        <f t="shared" si="114"/>
        <v>N/A</v>
      </c>
      <c r="FP162" s="184" t="str">
        <f t="shared" si="115"/>
        <v>N/A</v>
      </c>
      <c r="FR162" s="184" t="str">
        <f t="shared" si="116"/>
        <v>N/A</v>
      </c>
      <c r="FT162" s="184" t="str">
        <f t="shared" si="117"/>
        <v>N/A</v>
      </c>
      <c r="FV162" s="184" t="str">
        <f t="shared" si="118"/>
        <v>N/A</v>
      </c>
    </row>
    <row r="163" spans="168:178">
      <c r="FL163" s="184" t="str">
        <f t="shared" si="113"/>
        <v>N/A</v>
      </c>
      <c r="FN163" s="184" t="str">
        <f t="shared" si="114"/>
        <v>N/A</v>
      </c>
      <c r="FP163" s="184" t="str">
        <f t="shared" si="115"/>
        <v>N/A</v>
      </c>
      <c r="FR163" s="184" t="str">
        <f t="shared" si="116"/>
        <v>N/A</v>
      </c>
      <c r="FT163" s="184" t="str">
        <f t="shared" si="117"/>
        <v>N/A</v>
      </c>
      <c r="FV163" s="184" t="str">
        <f t="shared" si="118"/>
        <v>N/A</v>
      </c>
    </row>
    <row r="164" spans="168:178">
      <c r="FL164" s="184" t="str">
        <f t="shared" si="113"/>
        <v>N/A</v>
      </c>
      <c r="FN164" s="184" t="str">
        <f t="shared" si="114"/>
        <v>N/A</v>
      </c>
      <c r="FP164" s="184" t="str">
        <f t="shared" si="115"/>
        <v>N/A</v>
      </c>
      <c r="FR164" s="184" t="str">
        <f t="shared" si="116"/>
        <v>N/A</v>
      </c>
      <c r="FT164" s="184" t="str">
        <f t="shared" si="117"/>
        <v>N/A</v>
      </c>
      <c r="FV164" s="184" t="str">
        <f t="shared" si="118"/>
        <v>N/A</v>
      </c>
    </row>
    <row r="165" spans="168:178">
      <c r="FL165" s="184" t="str">
        <f t="shared" si="113"/>
        <v>N/A</v>
      </c>
      <c r="FN165" s="184" t="str">
        <f t="shared" si="114"/>
        <v>N/A</v>
      </c>
      <c r="FP165" s="184" t="str">
        <f t="shared" si="115"/>
        <v>N/A</v>
      </c>
      <c r="FR165" s="184" t="str">
        <f t="shared" si="116"/>
        <v>N/A</v>
      </c>
      <c r="FT165" s="184" t="str">
        <f t="shared" si="117"/>
        <v>N/A</v>
      </c>
      <c r="FV165" s="184" t="str">
        <f t="shared" si="118"/>
        <v>N/A</v>
      </c>
    </row>
  </sheetData>
  <sheetProtection password="E0BD" sheet="1" objects="1" scenarios="1" selectLockedCells="1"/>
  <sortState ref="FK74:FL82">
    <sortCondition ref="FK119:FK127"/>
  </sortState>
  <mergeCells count="87">
    <mergeCell ref="FQ54:FQ58"/>
    <mergeCell ref="FR54:FR58"/>
    <mergeCell ref="FK54:FK58"/>
    <mergeCell ref="FN54:FN58"/>
    <mergeCell ref="FM54:FM58"/>
    <mergeCell ref="FP54:FP58"/>
    <mergeCell ref="FO54:FO58"/>
    <mergeCell ref="FK68:FK72"/>
    <mergeCell ref="FL68:FL72"/>
    <mergeCell ref="FL54:FL58"/>
    <mergeCell ref="FU68:FU72"/>
    <mergeCell ref="FV68:FV72"/>
    <mergeCell ref="FS68:FS72"/>
    <mergeCell ref="FT68:FT72"/>
    <mergeCell ref="FQ68:FQ72"/>
    <mergeCell ref="FR68:FR72"/>
    <mergeCell ref="FO68:FO72"/>
    <mergeCell ref="FP68:FP72"/>
    <mergeCell ref="FM68:FM72"/>
    <mergeCell ref="FN68:FN72"/>
    <mergeCell ref="FU54:FU58"/>
    <mergeCell ref="FV54:FV58"/>
    <mergeCell ref="FS54:FS58"/>
    <mergeCell ref="FK67:FL67"/>
    <mergeCell ref="FU67:FV67"/>
    <mergeCell ref="FS67:FT67"/>
    <mergeCell ref="FQ67:FR67"/>
    <mergeCell ref="FO67:FP67"/>
    <mergeCell ref="FM67:FN67"/>
    <mergeCell ref="FK66:FV66"/>
    <mergeCell ref="CK14:CW14"/>
    <mergeCell ref="BA14:BH14"/>
    <mergeCell ref="BJ14:BQ14"/>
    <mergeCell ref="BS14:CE14"/>
    <mergeCell ref="CG14:CI14"/>
    <mergeCell ref="DH37:DN37"/>
    <mergeCell ref="DZ14:ED14"/>
    <mergeCell ref="DZ40:ED40"/>
    <mergeCell ref="CZ36:DF36"/>
    <mergeCell ref="CZ37:DF37"/>
    <mergeCell ref="CZ33:ED33"/>
    <mergeCell ref="DB40:DF40"/>
    <mergeCell ref="DJ14:DN14"/>
    <mergeCell ref="DJ40:DN40"/>
    <mergeCell ref="FT54:FT58"/>
    <mergeCell ref="C37:E37"/>
    <mergeCell ref="U16:AC16"/>
    <mergeCell ref="AR14:AY14"/>
    <mergeCell ref="AI14:AP14"/>
    <mergeCell ref="D14:S14"/>
    <mergeCell ref="D16:G16"/>
    <mergeCell ref="H16:K16"/>
    <mergeCell ref="L16:O16"/>
    <mergeCell ref="P16:S16"/>
    <mergeCell ref="CZ1:ED1"/>
    <mergeCell ref="DH11:DN11"/>
    <mergeCell ref="DH12:DN12"/>
    <mergeCell ref="DP11:DV11"/>
    <mergeCell ref="DP12:DV12"/>
    <mergeCell ref="DX11:ED11"/>
    <mergeCell ref="DX12:ED12"/>
    <mergeCell ref="DR14:DV14"/>
    <mergeCell ref="FU39:FV39"/>
    <mergeCell ref="DR40:DV40"/>
    <mergeCell ref="DX36:ED36"/>
    <mergeCell ref="DX37:ED37"/>
    <mergeCell ref="DP36:DV36"/>
    <mergeCell ref="DP37:DV37"/>
    <mergeCell ref="EI37:ES37"/>
    <mergeCell ref="FK38:FV38"/>
    <mergeCell ref="FO39:FP39"/>
    <mergeCell ref="FQ39:FR39"/>
    <mergeCell ref="FS39:FT39"/>
    <mergeCell ref="DH36:DN36"/>
    <mergeCell ref="EI38:EJ38"/>
    <mergeCell ref="EI39:EJ39"/>
    <mergeCell ref="ER39:ES39"/>
    <mergeCell ref="EL38:EM38"/>
    <mergeCell ref="EL39:EM39"/>
    <mergeCell ref="EO39:EP39"/>
    <mergeCell ref="EO38:EP38"/>
    <mergeCell ref="ER38:ES38"/>
    <mergeCell ref="FK53:FV53"/>
    <mergeCell ref="FK39:FL39"/>
    <mergeCell ref="FM39:FN39"/>
    <mergeCell ref="EG14:FH14"/>
    <mergeCell ref="FK12:FY12"/>
  </mergeCells>
  <phoneticPr fontId="7"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P52"/>
  <sheetViews>
    <sheetView zoomScaleNormal="100" workbookViewId="0"/>
  </sheetViews>
  <sheetFormatPr defaultRowHeight="12.75"/>
  <cols>
    <col min="1" max="1" width="1.7109375" customWidth="1"/>
    <col min="2" max="2" width="12.7109375" customWidth="1"/>
    <col min="3" max="4" width="9" customWidth="1"/>
    <col min="5" max="6" width="7.7109375" customWidth="1"/>
    <col min="7" max="7" width="7.7109375" style="31" customWidth="1"/>
    <col min="8" max="8" width="7.7109375" customWidth="1"/>
    <col min="9" max="10" width="3.7109375" customWidth="1"/>
    <col min="11" max="11" width="7.7109375" customWidth="1"/>
    <col min="12" max="12" width="3.5703125" customWidth="1"/>
    <col min="13" max="14" width="3.7109375" customWidth="1"/>
    <col min="15" max="15" width="3.5703125" style="31" customWidth="1"/>
    <col min="16" max="16" width="1.7109375" customWidth="1"/>
    <col min="24" max="24" width="9.140625" customWidth="1"/>
  </cols>
  <sheetData>
    <row r="1" spans="1:16" ht="15" customHeight="1">
      <c r="A1" s="139"/>
      <c r="B1" s="143" t="str">
        <f>'Input Sheet'!B1</f>
        <v>Form TR-01, Revised 3/10/15</v>
      </c>
      <c r="C1" s="13"/>
      <c r="D1" s="13"/>
      <c r="E1" s="13"/>
      <c r="F1" s="13"/>
      <c r="G1" s="69"/>
      <c r="H1" s="13"/>
      <c r="I1" s="13"/>
      <c r="J1" s="13"/>
      <c r="K1" s="13"/>
      <c r="L1" s="13"/>
      <c r="M1" s="13"/>
      <c r="N1" s="13"/>
      <c r="O1" s="144" t="s">
        <v>302</v>
      </c>
      <c r="P1" s="14"/>
    </row>
    <row r="2" spans="1:16" ht="15.75">
      <c r="A2" s="7"/>
      <c r="B2" s="318" t="s">
        <v>46</v>
      </c>
      <c r="C2" s="318"/>
      <c r="D2" s="318"/>
      <c r="E2" s="318"/>
      <c r="F2" s="318"/>
      <c r="G2" s="318"/>
      <c r="H2" s="318"/>
      <c r="I2" s="318"/>
      <c r="J2" s="318"/>
      <c r="K2" s="318"/>
      <c r="L2" s="318"/>
      <c r="M2" s="318"/>
      <c r="N2" s="318"/>
      <c r="O2" s="318"/>
      <c r="P2" s="52"/>
    </row>
    <row r="3" spans="1:16" ht="15.75">
      <c r="A3" s="7"/>
      <c r="B3" s="299" t="s">
        <v>47</v>
      </c>
      <c r="C3" s="299"/>
      <c r="D3" s="299"/>
      <c r="E3" s="299"/>
      <c r="F3" s="299"/>
      <c r="G3" s="299"/>
      <c r="H3" s="299"/>
      <c r="I3" s="299"/>
      <c r="J3" s="299"/>
      <c r="K3" s="299"/>
      <c r="L3" s="299"/>
      <c r="M3" s="299"/>
      <c r="N3" s="299"/>
      <c r="O3" s="299"/>
      <c r="P3" s="52"/>
    </row>
    <row r="4" spans="1:16" ht="12" customHeight="1">
      <c r="A4" s="7"/>
      <c r="B4" s="8"/>
      <c r="C4" s="8"/>
      <c r="D4" s="8"/>
      <c r="E4" s="8"/>
      <c r="F4" s="8"/>
      <c r="G4" s="29"/>
      <c r="H4" s="8"/>
      <c r="I4" s="8"/>
      <c r="J4" s="8"/>
      <c r="K4" s="8"/>
      <c r="L4" s="8"/>
      <c r="M4" s="8"/>
      <c r="N4" s="8"/>
      <c r="O4" s="29"/>
      <c r="P4" s="9"/>
    </row>
    <row r="5" spans="1:16">
      <c r="A5" s="7"/>
      <c r="B5" s="8"/>
      <c r="C5" s="8"/>
      <c r="D5" s="8"/>
      <c r="E5" s="8"/>
      <c r="F5" s="8"/>
      <c r="H5" s="15" t="s">
        <v>174</v>
      </c>
      <c r="I5" s="296" t="str">
        <f>IF('Input Sheet'!$K$4=0,"",'Input Sheet'!$K$4)</f>
        <v/>
      </c>
      <c r="J5" s="296"/>
      <c r="K5" s="81"/>
      <c r="L5" s="15" t="s">
        <v>173</v>
      </c>
      <c r="M5" s="323">
        <f ca="1">'Input Sheet'!Q4</f>
        <v>42073</v>
      </c>
      <c r="N5" s="323"/>
      <c r="O5" s="323"/>
      <c r="P5" s="9"/>
    </row>
    <row r="6" spans="1:16" ht="9" customHeight="1">
      <c r="A6" s="7"/>
      <c r="B6" s="8"/>
      <c r="C6" s="8"/>
      <c r="D6" s="8"/>
      <c r="E6" s="8"/>
      <c r="F6" s="8"/>
      <c r="G6" s="8"/>
      <c r="H6" s="8"/>
      <c r="I6" s="8"/>
      <c r="J6" s="8"/>
      <c r="K6" s="8"/>
      <c r="L6" s="29"/>
      <c r="P6" s="9"/>
    </row>
    <row r="7" spans="1:16">
      <c r="A7" s="7"/>
      <c r="B7" s="296" t="str">
        <f>IF('Input Sheet'!B6=0," ",'Input Sheet'!B6)</f>
        <v xml:space="preserve"> </v>
      </c>
      <c r="C7" s="319"/>
      <c r="D7" s="5" t="str">
        <f>IF('Input Sheet'!E6=0," ",'Input Sheet'!E6)</f>
        <v xml:space="preserve"> </v>
      </c>
      <c r="E7" s="320" t="str">
        <f>IF('Input Sheet'!F6=0," ",'Input Sheet'!F6)</f>
        <v xml:space="preserve"> </v>
      </c>
      <c r="F7" s="319"/>
      <c r="H7" s="15" t="s">
        <v>175</v>
      </c>
      <c r="I7" s="296" t="str">
        <f>IF('Input Sheet'!$K$6=0," ",'Input Sheet'!$K$6)</f>
        <v xml:space="preserve"> </v>
      </c>
      <c r="J7" s="296"/>
      <c r="L7" s="15" t="s">
        <v>172</v>
      </c>
      <c r="M7" s="322" t="str">
        <f>IF('Input Sheet'!Q6=0," ",'Input Sheet'!Q6)</f>
        <v xml:space="preserve"> </v>
      </c>
      <c r="N7" s="322"/>
      <c r="O7" s="322"/>
      <c r="P7" s="9"/>
    </row>
    <row r="8" spans="1:16" ht="13.15" customHeight="1">
      <c r="A8" s="7"/>
      <c r="B8" s="302" t="s">
        <v>5</v>
      </c>
      <c r="C8" s="302"/>
      <c r="D8" s="3" t="s">
        <v>6</v>
      </c>
      <c r="E8" s="321" t="s">
        <v>7</v>
      </c>
      <c r="F8" s="321"/>
      <c r="G8" s="3"/>
      <c r="H8" s="8"/>
      <c r="I8" s="8"/>
      <c r="J8" s="8"/>
      <c r="K8" s="8"/>
      <c r="L8" s="8"/>
      <c r="M8" s="8"/>
      <c r="N8" s="8"/>
      <c r="O8" s="29"/>
      <c r="P8" s="9"/>
    </row>
    <row r="9" spans="1:16" ht="12" customHeight="1">
      <c r="A9" s="7"/>
      <c r="B9" s="8"/>
      <c r="C9" s="8"/>
      <c r="D9" s="8"/>
      <c r="E9" s="8"/>
      <c r="F9" s="8"/>
      <c r="G9" s="29"/>
      <c r="H9" s="8"/>
      <c r="I9" s="8"/>
      <c r="J9" s="8"/>
      <c r="K9" s="8"/>
      <c r="L9" s="8"/>
      <c r="M9" s="8"/>
      <c r="N9" s="8"/>
      <c r="O9" s="29"/>
      <c r="P9" s="9"/>
    </row>
    <row r="10" spans="1:16" ht="13.15" customHeight="1">
      <c r="A10" s="7"/>
      <c r="B10" s="8" t="s">
        <v>49</v>
      </c>
      <c r="C10" s="296" t="str">
        <f>IF(AND('Input Sheet'!$D$9=0,'Input Sheet'!$D$16=0)," ",IF(Worksheet!$W$31&gt;Worksheet!$AA$31,'Input Sheet'!$D$9,'Input Sheet'!$D$16))</f>
        <v xml:space="preserve"> </v>
      </c>
      <c r="D10" s="296"/>
      <c r="E10" s="296"/>
      <c r="F10" s="3"/>
      <c r="H10" s="15" t="s">
        <v>69</v>
      </c>
      <c r="I10" s="334" t="str">
        <f>IF(Worksheet!$W$31&gt;Worksheet!$AA$31,IF('Input Sheet'!$M$9=0,"N/A",'Input Sheet'!$M$9),IF('Input Sheet'!$M$16=0,"N/A",'Input Sheet'!$M$16))</f>
        <v>N/A</v>
      </c>
      <c r="J10" s="334"/>
      <c r="K10" s="8" t="s">
        <v>10</v>
      </c>
      <c r="M10" s="15" t="s">
        <v>11</v>
      </c>
      <c r="N10" s="296">
        <f>IF(Worksheet!$W$31&gt;Worksheet!$AA$31,'Input Sheet'!$Q$9,'Input Sheet'!$Q$16)</f>
        <v>0</v>
      </c>
      <c r="O10" s="296"/>
      <c r="P10" s="9"/>
    </row>
    <row r="11" spans="1:16" ht="9" customHeight="1">
      <c r="A11" s="7"/>
      <c r="B11" s="8"/>
      <c r="C11" s="8"/>
      <c r="D11" s="8"/>
      <c r="E11" s="8"/>
      <c r="F11" s="8"/>
      <c r="H11" s="8"/>
      <c r="J11" s="8"/>
      <c r="K11" s="8"/>
      <c r="M11" s="29"/>
      <c r="O11" s="8"/>
      <c r="P11" s="9"/>
    </row>
    <row r="12" spans="1:16" ht="13.15" customHeight="1">
      <c r="A12" s="7"/>
      <c r="B12" s="8" t="s">
        <v>50</v>
      </c>
      <c r="C12" s="296" t="str">
        <f>IF(AND('Input Sheet'!$D$9=0,'Input Sheet'!$D$16=0)," ",IF(Worksheet!$W$31&gt;Worksheet!$AA$31,'Input Sheet'!$D$16,'Input Sheet'!$D$9))</f>
        <v xml:space="preserve"> </v>
      </c>
      <c r="D12" s="296"/>
      <c r="E12" s="296"/>
      <c r="F12" s="3"/>
      <c r="H12" s="15" t="s">
        <v>69</v>
      </c>
      <c r="I12" s="296" t="str">
        <f>IF(Worksheet!$W$31&gt;Worksheet!$AA$31,IF('Input Sheet'!$M$16=0,"N/A",'Input Sheet'!$M$16),IF('Input Sheet'!$M$9=0,"N/A",'Input Sheet'!$M$9))</f>
        <v>N/A</v>
      </c>
      <c r="J12" s="296"/>
      <c r="K12" s="8" t="s">
        <v>10</v>
      </c>
      <c r="M12" s="15" t="s">
        <v>11</v>
      </c>
      <c r="N12" s="296">
        <f>IF(Worksheet!$W$31&gt;Worksheet!$AA$31,'Input Sheet'!$Q$16,'Input Sheet'!$Q$9)</f>
        <v>0</v>
      </c>
      <c r="O12" s="296"/>
      <c r="P12" s="9"/>
    </row>
    <row r="13" spans="1:16" ht="12" customHeight="1">
      <c r="A13" s="7"/>
      <c r="B13" s="8"/>
      <c r="C13" s="8"/>
      <c r="D13" s="8"/>
      <c r="E13" s="8"/>
      <c r="F13" s="8"/>
      <c r="G13" s="29"/>
      <c r="H13" s="8"/>
      <c r="I13" s="8"/>
      <c r="J13" s="8"/>
      <c r="K13" s="8"/>
      <c r="L13" s="8"/>
      <c r="M13" s="8"/>
      <c r="N13" s="8"/>
      <c r="O13" s="29"/>
      <c r="P13" s="9"/>
    </row>
    <row r="14" spans="1:16">
      <c r="A14" s="7"/>
      <c r="C14" s="8"/>
      <c r="D14" s="8"/>
      <c r="E14" s="8"/>
      <c r="F14" s="8"/>
      <c r="G14" s="29"/>
      <c r="H14" s="8"/>
      <c r="K14" s="8"/>
      <c r="L14" s="107" t="s">
        <v>301</v>
      </c>
      <c r="M14" s="8"/>
      <c r="N14" s="218" t="str">
        <f>IF(OR(I10&lt;40,I10="N/A"),"",IF(I10&gt;40,"X",IF(Worksheet!W31&gt;Worksheet!AA31,IF('Input Sheet'!R8="Yes","X",""),IF('Input Sheet'!R15="Yes","X",""))))</f>
        <v/>
      </c>
      <c r="O14" s="333" t="s">
        <v>51</v>
      </c>
      <c r="P14" s="9"/>
    </row>
    <row r="15" spans="1:16" ht="9" customHeight="1">
      <c r="A15" s="7"/>
      <c r="B15" s="8"/>
      <c r="C15" s="8"/>
      <c r="D15" s="8"/>
      <c r="E15" s="8"/>
      <c r="F15" s="8"/>
      <c r="G15" s="29"/>
      <c r="H15" s="8"/>
      <c r="K15" s="8"/>
      <c r="L15" s="219"/>
      <c r="M15" s="8"/>
      <c r="N15" s="8"/>
      <c r="O15" s="333"/>
      <c r="P15" s="9"/>
    </row>
    <row r="16" spans="1:16">
      <c r="A16" s="7"/>
      <c r="C16" s="8"/>
      <c r="D16" s="8"/>
      <c r="E16" s="8"/>
      <c r="F16" s="8"/>
      <c r="G16" s="29"/>
      <c r="H16" s="8"/>
      <c r="K16" s="8"/>
      <c r="L16" s="107" t="s">
        <v>300</v>
      </c>
      <c r="M16" s="8"/>
      <c r="N16" s="138" t="str">
        <f>IF(OR(B7="Alpine",B7="Buffalo",B7="Casper",B7="Cheyenne",B7="Cody",B7="Douglas",B7="Evanston",B7="Gillette",B7="Green River",B7="Greybull",B7="Jackson",B7="Kemmerer",B7="Lander",B7="Laramie",B7="Lovell",B7="Lusk",B7="Newcastle",B7="Powell",B7="Rawlins",B7="Riverton",B7="Rock Springs",B7="Sheridan",B7="Thermopolis",B7="Torrington",B7="Wheatland",B7="Worland")," ","X")</f>
        <v>X</v>
      </c>
      <c r="O16" s="333"/>
      <c r="P16" s="9"/>
    </row>
    <row r="17" spans="1:16" ht="12" customHeight="1" thickBot="1">
      <c r="A17" s="7"/>
      <c r="B17" s="10"/>
      <c r="C17" s="10"/>
      <c r="D17" s="10"/>
      <c r="E17" s="10"/>
      <c r="F17" s="10"/>
      <c r="G17" s="70"/>
      <c r="H17" s="10"/>
      <c r="I17" s="10"/>
      <c r="J17" s="10"/>
      <c r="K17" s="10"/>
      <c r="L17" s="10"/>
      <c r="M17" s="10"/>
      <c r="N17" s="10"/>
      <c r="O17" s="70"/>
      <c r="P17" s="9"/>
    </row>
    <row r="18" spans="1:16" ht="12" customHeight="1">
      <c r="A18" s="7"/>
      <c r="B18" s="8"/>
      <c r="C18" s="8"/>
      <c r="D18" s="8"/>
      <c r="E18" s="8"/>
      <c r="F18" s="8"/>
      <c r="G18" s="29"/>
      <c r="H18" s="8"/>
      <c r="I18" s="8"/>
      <c r="J18" s="8"/>
      <c r="K18" s="8"/>
      <c r="L18" s="8"/>
      <c r="M18" s="8"/>
      <c r="N18" s="8"/>
      <c r="O18" s="29"/>
      <c r="P18" s="9"/>
    </row>
    <row r="19" spans="1:16" ht="15.75">
      <c r="A19" s="7"/>
      <c r="B19" s="24" t="s">
        <v>52</v>
      </c>
      <c r="C19" s="8"/>
      <c r="D19" s="8"/>
      <c r="E19" s="8"/>
      <c r="F19" s="8"/>
      <c r="G19" s="29"/>
      <c r="H19" s="8"/>
      <c r="I19" s="8"/>
      <c r="J19" s="8"/>
      <c r="K19" s="8"/>
      <c r="L19" s="8"/>
      <c r="M19" s="8"/>
      <c r="N19" s="8"/>
      <c r="O19" s="29"/>
      <c r="P19" s="9"/>
    </row>
    <row r="20" spans="1:16" ht="9" customHeight="1">
      <c r="A20" s="7"/>
      <c r="B20" s="8"/>
      <c r="C20" s="8"/>
      <c r="D20" s="8"/>
      <c r="E20" s="8"/>
      <c r="F20" s="8"/>
      <c r="G20" s="29"/>
      <c r="H20" s="8"/>
      <c r="I20" s="8"/>
      <c r="J20" s="8"/>
      <c r="K20" s="8"/>
      <c r="L20" s="8"/>
      <c r="M20" s="8"/>
      <c r="N20" s="8"/>
      <c r="O20" s="29"/>
      <c r="P20" s="9"/>
    </row>
    <row r="21" spans="1:16">
      <c r="A21" s="7"/>
      <c r="B21" s="25" t="s">
        <v>53</v>
      </c>
      <c r="C21" s="8"/>
      <c r="D21" s="8"/>
      <c r="E21" s="8"/>
      <c r="F21" s="8"/>
      <c r="G21" s="29"/>
      <c r="H21" s="8"/>
      <c r="I21" s="8"/>
      <c r="J21" s="8"/>
      <c r="K21" s="8"/>
      <c r="L21" s="8"/>
      <c r="M21" s="8"/>
      <c r="N21" s="8"/>
      <c r="O21" s="29"/>
      <c r="P21" s="9"/>
    </row>
    <row r="22" spans="1:16">
      <c r="A22" s="7"/>
      <c r="B22" s="8"/>
      <c r="C22" s="8"/>
      <c r="D22" s="8"/>
      <c r="I22" s="8"/>
      <c r="J22" s="26" t="s">
        <v>72</v>
      </c>
      <c r="K22" s="26" t="s">
        <v>73</v>
      </c>
      <c r="L22" s="46" t="str">
        <f>IF(COUNTIF(E27:O27,"Yes")&gt;=8,"X","")</f>
        <v/>
      </c>
      <c r="M22" s="8"/>
      <c r="N22" s="26" t="s">
        <v>74</v>
      </c>
      <c r="O22" s="46" t="str">
        <f>IF(L22="X","","X")</f>
        <v>X</v>
      </c>
      <c r="P22" s="9"/>
    </row>
    <row r="23" spans="1:16" ht="6" customHeight="1">
      <c r="A23" s="7"/>
      <c r="B23" s="8"/>
      <c r="C23" s="8"/>
      <c r="D23" s="8"/>
      <c r="E23" s="8"/>
      <c r="F23" s="8"/>
      <c r="G23" s="29"/>
      <c r="H23" s="8"/>
      <c r="I23" s="8"/>
      <c r="J23" s="8"/>
      <c r="K23" s="8"/>
      <c r="L23" s="8"/>
      <c r="M23" s="8"/>
      <c r="N23" s="8"/>
      <c r="O23" s="29"/>
      <c r="P23" s="9"/>
    </row>
    <row r="24" spans="1:16" ht="21" customHeight="1">
      <c r="A24" s="7"/>
      <c r="B24" s="8"/>
      <c r="C24" s="74" t="s">
        <v>54</v>
      </c>
      <c r="D24" s="74" t="s">
        <v>55</v>
      </c>
      <c r="E24" s="115" t="str">
        <f>Worksheet!AN18</f>
        <v>N/A</v>
      </c>
      <c r="F24" s="115" t="str">
        <f>Worksheet!AN19</f>
        <v>N/A</v>
      </c>
      <c r="G24" s="115" t="str">
        <f>Worksheet!AN20</f>
        <v>N/A</v>
      </c>
      <c r="H24" s="115" t="str">
        <f>Worksheet!AN21</f>
        <v>N/A</v>
      </c>
      <c r="I24" s="327" t="str">
        <f>Worksheet!AN22</f>
        <v>N/A</v>
      </c>
      <c r="J24" s="328"/>
      <c r="K24" s="115" t="str">
        <f>Worksheet!AN23</f>
        <v>N/A</v>
      </c>
      <c r="L24" s="331" t="str">
        <f>Worksheet!AN24</f>
        <v>N/A</v>
      </c>
      <c r="M24" s="332"/>
      <c r="N24" s="331" t="str">
        <f>Worksheet!AN25</f>
        <v>N/A</v>
      </c>
      <c r="O24" s="332"/>
      <c r="P24" s="9"/>
    </row>
    <row r="25" spans="1:16" ht="21" customHeight="1">
      <c r="A25" s="7"/>
      <c r="B25" s="75" t="s">
        <v>75</v>
      </c>
      <c r="C25" s="83">
        <f>$N$10</f>
        <v>0</v>
      </c>
      <c r="D25" s="83">
        <f>IF(Worksheet!$BT$6="No",IF($N$10&gt;1,600,500),IF($N$10&gt;1,420,350))</f>
        <v>350</v>
      </c>
      <c r="E25" s="82" t="str">
        <f>Worksheet!$AO$18</f>
        <v>N/A</v>
      </c>
      <c r="F25" s="82" t="str">
        <f>Worksheet!$AO$19</f>
        <v>N/A</v>
      </c>
      <c r="G25" s="82" t="str">
        <f>Worksheet!$AO$20</f>
        <v>N/A</v>
      </c>
      <c r="H25" s="82" t="str">
        <f>Worksheet!$AO$21</f>
        <v>N/A</v>
      </c>
      <c r="I25" s="329" t="str">
        <f>Worksheet!$AO$22</f>
        <v>N/A</v>
      </c>
      <c r="J25" s="330"/>
      <c r="K25" s="82" t="str">
        <f>Worksheet!$AO$23</f>
        <v>N/A</v>
      </c>
      <c r="L25" s="325" t="str">
        <f>Worksheet!$AO$24</f>
        <v>N/A</v>
      </c>
      <c r="M25" s="326"/>
      <c r="N25" s="325" t="str">
        <f>Worksheet!$AO$25</f>
        <v>N/A</v>
      </c>
      <c r="O25" s="326"/>
      <c r="P25" s="9"/>
    </row>
    <row r="26" spans="1:16" ht="21" customHeight="1">
      <c r="A26" s="7"/>
      <c r="B26" s="76" t="s">
        <v>76</v>
      </c>
      <c r="C26" s="83">
        <f>$N$12</f>
        <v>0</v>
      </c>
      <c r="D26" s="83">
        <f>IF(Worksheet!$BT$6="No",IF($N$12&gt;1,200,150),IF($N$12&gt;1,140,105))</f>
        <v>105</v>
      </c>
      <c r="E26" s="82" t="str">
        <f>Worksheet!$AP$18</f>
        <v>N/A</v>
      </c>
      <c r="F26" s="82" t="str">
        <f>Worksheet!$AP$19</f>
        <v>N/A</v>
      </c>
      <c r="G26" s="82" t="str">
        <f>Worksheet!$AP$20</f>
        <v>N/A</v>
      </c>
      <c r="H26" s="82" t="str">
        <f>Worksheet!$AP$21</f>
        <v>N/A</v>
      </c>
      <c r="I26" s="329" t="str">
        <f>Worksheet!$AP$22</f>
        <v>N/A</v>
      </c>
      <c r="J26" s="330"/>
      <c r="K26" s="82" t="str">
        <f>Worksheet!$AP$23</f>
        <v>N/A</v>
      </c>
      <c r="L26" s="325" t="str">
        <f>Worksheet!$AP$24</f>
        <v>N/A</v>
      </c>
      <c r="M26" s="326"/>
      <c r="N26" s="325" t="str">
        <f>Worksheet!$AP$25</f>
        <v>N/A</v>
      </c>
      <c r="O26" s="326"/>
      <c r="P26" s="9"/>
    </row>
    <row r="27" spans="1:16" ht="15" customHeight="1">
      <c r="A27" s="7"/>
      <c r="B27" s="8"/>
      <c r="C27" s="324" t="s">
        <v>56</v>
      </c>
      <c r="D27" s="324"/>
      <c r="E27" s="4" t="str">
        <f>IF(OR(E25="N/A",E26="N/A"),"No",IF(AND(E25&gt;=$D25,E26&gt;=$D26),"Yes","No"))</f>
        <v>No</v>
      </c>
      <c r="F27" s="4" t="str">
        <f t="shared" ref="F27:N27" si="0">IF(OR(F25="N/A",F26="N/A"),"No",IF(AND(F25&gt;=$D25,F26&gt;=$D26),"Yes","No"))</f>
        <v>No</v>
      </c>
      <c r="G27" s="4" t="str">
        <f t="shared" si="0"/>
        <v>No</v>
      </c>
      <c r="H27" s="4" t="str">
        <f t="shared" si="0"/>
        <v>No</v>
      </c>
      <c r="I27" s="289" t="str">
        <f t="shared" si="0"/>
        <v>No</v>
      </c>
      <c r="J27" s="312"/>
      <c r="K27" s="4" t="str">
        <f t="shared" si="0"/>
        <v>No</v>
      </c>
      <c r="L27" s="289" t="str">
        <f t="shared" si="0"/>
        <v>No</v>
      </c>
      <c r="M27" s="312"/>
      <c r="N27" s="289" t="str">
        <f t="shared" si="0"/>
        <v>No</v>
      </c>
      <c r="O27" s="312"/>
      <c r="P27" s="9"/>
    </row>
    <row r="28" spans="1:16" ht="15" customHeight="1">
      <c r="A28" s="7"/>
      <c r="B28" s="8"/>
      <c r="C28" s="8"/>
      <c r="D28" s="8"/>
      <c r="E28" s="8"/>
      <c r="F28" s="8"/>
      <c r="G28" s="29"/>
      <c r="H28" s="8"/>
      <c r="I28" s="8"/>
      <c r="J28" s="8"/>
      <c r="K28" s="8"/>
      <c r="L28" s="8"/>
      <c r="M28" s="8"/>
      <c r="N28" s="8"/>
      <c r="O28" s="29"/>
      <c r="P28" s="9"/>
    </row>
    <row r="29" spans="1:16">
      <c r="A29" s="7"/>
      <c r="B29" s="25" t="s">
        <v>58</v>
      </c>
      <c r="C29" s="8"/>
      <c r="D29" s="8"/>
      <c r="E29" s="8"/>
      <c r="F29" s="8"/>
      <c r="G29" s="29"/>
      <c r="H29" s="8"/>
      <c r="I29" s="8"/>
      <c r="J29" s="8"/>
      <c r="K29" s="8"/>
      <c r="L29" s="8"/>
      <c r="M29" s="8"/>
      <c r="N29" s="8"/>
      <c r="O29" s="29"/>
      <c r="P29" s="9"/>
    </row>
    <row r="30" spans="1:16">
      <c r="A30" s="7"/>
      <c r="B30" s="8"/>
      <c r="C30" s="8"/>
      <c r="D30" s="8"/>
      <c r="E30" s="8"/>
      <c r="F30" s="8"/>
      <c r="G30" s="29"/>
      <c r="H30" s="8"/>
      <c r="I30" s="8"/>
      <c r="J30" s="26" t="s">
        <v>72</v>
      </c>
      <c r="K30" s="26" t="s">
        <v>73</v>
      </c>
      <c r="L30" s="46" t="str">
        <f>IF(COUNTIF(E35:O35,"Yes")&gt;=8,"X","")</f>
        <v/>
      </c>
      <c r="M30" s="8"/>
      <c r="N30" s="26" t="s">
        <v>74</v>
      </c>
      <c r="O30" s="46" t="str">
        <f>IF(L30="X","","X")</f>
        <v>X</v>
      </c>
      <c r="P30" s="9"/>
    </row>
    <row r="31" spans="1:16" ht="6" customHeight="1">
      <c r="A31" s="7"/>
      <c r="B31" s="8"/>
      <c r="C31" s="8"/>
      <c r="D31" s="8"/>
      <c r="E31" s="8"/>
      <c r="F31" s="8"/>
      <c r="G31" s="29"/>
      <c r="H31" s="8"/>
      <c r="I31" s="8"/>
      <c r="J31" s="8"/>
      <c r="K31" s="8"/>
      <c r="L31" s="8"/>
      <c r="M31" s="8"/>
      <c r="N31" s="8"/>
      <c r="O31" s="29"/>
      <c r="P31" s="9"/>
    </row>
    <row r="32" spans="1:16" ht="21" customHeight="1">
      <c r="A32" s="7"/>
      <c r="B32" s="8"/>
      <c r="C32" s="74" t="s">
        <v>54</v>
      </c>
      <c r="D32" s="74" t="s">
        <v>55</v>
      </c>
      <c r="E32" s="115" t="str">
        <f>Worksheet!AW18</f>
        <v>N/A</v>
      </c>
      <c r="F32" s="115" t="str">
        <f>Worksheet!AW19</f>
        <v>N/A</v>
      </c>
      <c r="G32" s="115" t="str">
        <f>Worksheet!AW20</f>
        <v>N/A</v>
      </c>
      <c r="H32" s="115" t="str">
        <f>Worksheet!AW21</f>
        <v>N/A</v>
      </c>
      <c r="I32" s="327" t="str">
        <f>Worksheet!AW22</f>
        <v>N/A</v>
      </c>
      <c r="J32" s="328"/>
      <c r="K32" s="115" t="str">
        <f>Worksheet!AW23</f>
        <v>N/A</v>
      </c>
      <c r="L32" s="331" t="str">
        <f>Worksheet!AW24</f>
        <v>N/A</v>
      </c>
      <c r="M32" s="332"/>
      <c r="N32" s="331" t="str">
        <f>Worksheet!AW25</f>
        <v>N/A</v>
      </c>
      <c r="O32" s="332"/>
      <c r="P32" s="9"/>
    </row>
    <row r="33" spans="1:16" ht="21" customHeight="1">
      <c r="A33" s="7"/>
      <c r="B33" s="75" t="s">
        <v>75</v>
      </c>
      <c r="C33" s="83">
        <f>$N$10</f>
        <v>0</v>
      </c>
      <c r="D33" s="83">
        <f>IF(Worksheet!$BT$6="No",IF($N$10&gt;1,900,750),IF($N$10&gt;1,630,525))</f>
        <v>525</v>
      </c>
      <c r="E33" s="82" t="str">
        <f>Worksheet!$AX$18</f>
        <v>N/A</v>
      </c>
      <c r="F33" s="82" t="str">
        <f>Worksheet!$AX$19</f>
        <v>N/A</v>
      </c>
      <c r="G33" s="82" t="str">
        <f>Worksheet!$AX$20</f>
        <v>N/A</v>
      </c>
      <c r="H33" s="82" t="str">
        <f>Worksheet!$AX$21</f>
        <v>N/A</v>
      </c>
      <c r="I33" s="329" t="str">
        <f>Worksheet!$AX$22</f>
        <v>N/A</v>
      </c>
      <c r="J33" s="330"/>
      <c r="K33" s="82" t="str">
        <f>Worksheet!$AX$23</f>
        <v>N/A</v>
      </c>
      <c r="L33" s="325" t="str">
        <f>Worksheet!$AX$24</f>
        <v>N/A</v>
      </c>
      <c r="M33" s="326"/>
      <c r="N33" s="325" t="str">
        <f>Worksheet!$AX$25</f>
        <v>N/A</v>
      </c>
      <c r="O33" s="326"/>
      <c r="P33" s="9"/>
    </row>
    <row r="34" spans="1:16" ht="21" customHeight="1">
      <c r="A34" s="7"/>
      <c r="B34" s="76" t="s">
        <v>76</v>
      </c>
      <c r="C34" s="83">
        <f>$N$12</f>
        <v>0</v>
      </c>
      <c r="D34" s="83">
        <f>IF(Worksheet!$BT$6="No",IF($N$12&gt;1,100,75),IF($N$12&gt;1,70,53))</f>
        <v>53</v>
      </c>
      <c r="E34" s="82" t="str">
        <f>Worksheet!$AY$18</f>
        <v>N/A</v>
      </c>
      <c r="F34" s="82" t="str">
        <f>Worksheet!$AY$19</f>
        <v>N/A</v>
      </c>
      <c r="G34" s="82" t="str">
        <f>Worksheet!$AY$20</f>
        <v>N/A</v>
      </c>
      <c r="H34" s="82" t="str">
        <f>Worksheet!$AY$21</f>
        <v>N/A</v>
      </c>
      <c r="I34" s="329" t="str">
        <f>Worksheet!$AY$22</f>
        <v>N/A</v>
      </c>
      <c r="J34" s="330"/>
      <c r="K34" s="82" t="str">
        <f>Worksheet!$AY$23</f>
        <v>N/A</v>
      </c>
      <c r="L34" s="325" t="str">
        <f>Worksheet!$AY$24</f>
        <v>N/A</v>
      </c>
      <c r="M34" s="326"/>
      <c r="N34" s="325" t="str">
        <f>Worksheet!$AY$25</f>
        <v>N/A</v>
      </c>
      <c r="O34" s="326"/>
      <c r="P34" s="9"/>
    </row>
    <row r="35" spans="1:16" ht="15" customHeight="1">
      <c r="A35" s="7"/>
      <c r="B35" s="8"/>
      <c r="C35" s="324" t="s">
        <v>56</v>
      </c>
      <c r="D35" s="324"/>
      <c r="E35" s="4" t="str">
        <f>IF(OR(E33="N/A",E34="N/A"),"No",IF(AND(E33&gt;=$D33,E34&gt;=$D34),"Yes","No"))</f>
        <v>No</v>
      </c>
      <c r="F35" s="4" t="str">
        <f t="shared" ref="F35:N35" si="1">IF(OR(F33="N/A",F34="N/A"),"No",IF(AND(F33&gt;=$D33,F34&gt;=$D34),"Yes","No"))</f>
        <v>No</v>
      </c>
      <c r="G35" s="4" t="str">
        <f t="shared" si="1"/>
        <v>No</v>
      </c>
      <c r="H35" s="4" t="str">
        <f t="shared" si="1"/>
        <v>No</v>
      </c>
      <c r="I35" s="289" t="str">
        <f t="shared" si="1"/>
        <v>No</v>
      </c>
      <c r="J35" s="312"/>
      <c r="K35" s="4" t="str">
        <f t="shared" si="1"/>
        <v>No</v>
      </c>
      <c r="L35" s="289" t="str">
        <f t="shared" si="1"/>
        <v>No</v>
      </c>
      <c r="M35" s="312"/>
      <c r="N35" s="289" t="str">
        <f t="shared" si="1"/>
        <v>No</v>
      </c>
      <c r="O35" s="312"/>
      <c r="P35" s="9"/>
    </row>
    <row r="36" spans="1:16" ht="15" customHeight="1">
      <c r="A36" s="7"/>
      <c r="B36" s="8"/>
      <c r="C36" s="8"/>
      <c r="D36" s="8"/>
      <c r="E36" s="8"/>
      <c r="F36" s="8"/>
      <c r="G36" s="29"/>
      <c r="H36" s="8"/>
      <c r="I36" s="8"/>
      <c r="J36" s="8"/>
      <c r="K36" s="8"/>
      <c r="L36" s="8"/>
      <c r="M36" s="8"/>
      <c r="N36" s="8"/>
      <c r="O36" s="29"/>
      <c r="P36" s="9"/>
    </row>
    <row r="37" spans="1:16">
      <c r="A37" s="7"/>
      <c r="B37" s="25" t="s">
        <v>59</v>
      </c>
      <c r="C37" s="8"/>
      <c r="D37" s="8"/>
      <c r="E37" s="8"/>
      <c r="F37" s="8"/>
      <c r="G37" s="29"/>
      <c r="H37" s="8"/>
      <c r="I37" s="8"/>
      <c r="J37" s="26" t="s">
        <v>60</v>
      </c>
      <c r="K37" s="26" t="s">
        <v>73</v>
      </c>
      <c r="L37" s="46" t="str">
        <f>IF(AND(L39="X",L46="X"),"X","")</f>
        <v/>
      </c>
      <c r="M37" s="8"/>
      <c r="N37" s="26" t="s">
        <v>74</v>
      </c>
      <c r="O37" s="46" t="str">
        <f>IF(L37="X","","X")</f>
        <v>X</v>
      </c>
      <c r="P37" s="9"/>
    </row>
    <row r="38" spans="1:16" ht="9" customHeight="1">
      <c r="A38" s="7"/>
      <c r="B38" s="8"/>
      <c r="C38" s="8"/>
      <c r="D38" s="8"/>
      <c r="E38" s="8"/>
      <c r="F38" s="8"/>
      <c r="G38" s="29"/>
      <c r="H38" s="8"/>
      <c r="I38" s="8"/>
      <c r="J38" s="8"/>
      <c r="K38" s="8"/>
      <c r="L38" s="8"/>
      <c r="M38" s="8"/>
      <c r="N38" s="8"/>
      <c r="O38" s="29"/>
      <c r="P38" s="9"/>
    </row>
    <row r="39" spans="1:16">
      <c r="A39" s="7"/>
      <c r="B39" s="25" t="s">
        <v>61</v>
      </c>
      <c r="C39" s="8"/>
      <c r="D39" s="8"/>
      <c r="E39" s="8"/>
      <c r="F39" s="8"/>
      <c r="G39" s="29"/>
      <c r="H39" s="8"/>
      <c r="I39" s="8"/>
      <c r="J39" s="26" t="s">
        <v>62</v>
      </c>
      <c r="K39" s="26" t="s">
        <v>73</v>
      </c>
      <c r="L39" s="46" t="str">
        <f>IF(COUNTIF(E44:O44,"Yes")&gt;=8,"X","")</f>
        <v/>
      </c>
      <c r="M39" s="8"/>
      <c r="N39" s="26" t="s">
        <v>74</v>
      </c>
      <c r="O39" s="46" t="str">
        <f>IF(L39="X","","X")</f>
        <v>X</v>
      </c>
      <c r="P39" s="9"/>
    </row>
    <row r="40" spans="1:16" ht="6" customHeight="1">
      <c r="A40" s="7"/>
      <c r="B40" s="8"/>
      <c r="C40" s="8"/>
      <c r="D40" s="8"/>
      <c r="E40" s="8"/>
      <c r="F40" s="8"/>
      <c r="G40" s="29"/>
      <c r="H40" s="8"/>
      <c r="I40" s="8"/>
      <c r="J40" s="8"/>
      <c r="K40" s="8"/>
      <c r="L40" s="8"/>
      <c r="M40" s="8"/>
      <c r="N40" s="8"/>
      <c r="O40" s="29"/>
      <c r="P40" s="9"/>
    </row>
    <row r="41" spans="1:16" ht="21.6" customHeight="1">
      <c r="A41" s="7"/>
      <c r="B41" s="8"/>
      <c r="C41" s="74" t="s">
        <v>54</v>
      </c>
      <c r="D41" s="74" t="s">
        <v>55</v>
      </c>
      <c r="E41" s="115" t="str">
        <f>Worksheet!BF18</f>
        <v>N/A</v>
      </c>
      <c r="F41" s="115" t="str">
        <f>Worksheet!BF19</f>
        <v>N/A</v>
      </c>
      <c r="G41" s="115" t="str">
        <f>Worksheet!BF20</f>
        <v>N/A</v>
      </c>
      <c r="H41" s="115" t="str">
        <f>Worksheet!BF21</f>
        <v>N/A</v>
      </c>
      <c r="I41" s="327" t="str">
        <f>Worksheet!BF22</f>
        <v>N/A</v>
      </c>
      <c r="J41" s="328"/>
      <c r="K41" s="115" t="str">
        <f>Worksheet!BF23</f>
        <v>N/A</v>
      </c>
      <c r="L41" s="331" t="str">
        <f>Worksheet!BF24</f>
        <v>N/A</v>
      </c>
      <c r="M41" s="332"/>
      <c r="N41" s="331" t="str">
        <f>Worksheet!BF25</f>
        <v>N/A</v>
      </c>
      <c r="O41" s="332"/>
      <c r="P41" s="9"/>
    </row>
    <row r="42" spans="1:16" ht="21" customHeight="1">
      <c r="A42" s="7"/>
      <c r="B42" s="75" t="s">
        <v>75</v>
      </c>
      <c r="C42" s="83">
        <f>$N$10</f>
        <v>0</v>
      </c>
      <c r="D42" s="83">
        <f>IF(Worksheet!$BT$6="No",IF($N$10&gt;1,480,400),IF($N$10&gt;1,336,280))</f>
        <v>280</v>
      </c>
      <c r="E42" s="82" t="str">
        <f>Worksheet!$BG$18</f>
        <v>N/A</v>
      </c>
      <c r="F42" s="82" t="str">
        <f>Worksheet!$BG$19</f>
        <v>N/A</v>
      </c>
      <c r="G42" s="82" t="str">
        <f>Worksheet!$BG$20</f>
        <v>N/A</v>
      </c>
      <c r="H42" s="82" t="str">
        <f>Worksheet!$BG$21</f>
        <v>N/A</v>
      </c>
      <c r="I42" s="329" t="str">
        <f>Worksheet!$BG$22</f>
        <v>N/A</v>
      </c>
      <c r="J42" s="330"/>
      <c r="K42" s="82" t="str">
        <f>Worksheet!$BG$23</f>
        <v>N/A</v>
      </c>
      <c r="L42" s="325" t="str">
        <f>Worksheet!$BG$24</f>
        <v>N/A</v>
      </c>
      <c r="M42" s="326"/>
      <c r="N42" s="325" t="str">
        <f>Worksheet!$BG$25</f>
        <v>N/A</v>
      </c>
      <c r="O42" s="326"/>
      <c r="P42" s="9"/>
    </row>
    <row r="43" spans="1:16" ht="21" customHeight="1">
      <c r="A43" s="7"/>
      <c r="B43" s="76" t="s">
        <v>76</v>
      </c>
      <c r="C43" s="83">
        <f>$N$12</f>
        <v>0</v>
      </c>
      <c r="D43" s="83">
        <f>IF(Worksheet!$BT$6="No",IF($N$12&gt;1,160,120),IF($N$12&gt;1,112,84))</f>
        <v>84</v>
      </c>
      <c r="E43" s="82" t="str">
        <f>Worksheet!$BH$18</f>
        <v>N/A</v>
      </c>
      <c r="F43" s="82" t="str">
        <f>Worksheet!$BH$19</f>
        <v>N/A</v>
      </c>
      <c r="G43" s="82" t="str">
        <f>Worksheet!$BH$20</f>
        <v>N/A</v>
      </c>
      <c r="H43" s="82" t="str">
        <f>Worksheet!$BH$21</f>
        <v>N/A</v>
      </c>
      <c r="I43" s="329" t="str">
        <f>Worksheet!$BH$22</f>
        <v>N/A</v>
      </c>
      <c r="J43" s="330"/>
      <c r="K43" s="82" t="str">
        <f>Worksheet!$BH$23</f>
        <v>N/A</v>
      </c>
      <c r="L43" s="325" t="str">
        <f>Worksheet!$BH$24</f>
        <v>N/A</v>
      </c>
      <c r="M43" s="326"/>
      <c r="N43" s="325" t="str">
        <f>Worksheet!$BH$25</f>
        <v>N/A</v>
      </c>
      <c r="O43" s="326"/>
      <c r="P43" s="9"/>
    </row>
    <row r="44" spans="1:16" ht="15" customHeight="1">
      <c r="A44" s="7"/>
      <c r="B44" s="8"/>
      <c r="C44" s="324" t="s">
        <v>56</v>
      </c>
      <c r="D44" s="324"/>
      <c r="E44" s="4" t="str">
        <f>IF(OR(E42="N/A",E43="N/A"),"No",IF(AND(E42&gt;=$D42,E43&gt;=$D43),"Yes","No"))</f>
        <v>No</v>
      </c>
      <c r="F44" s="4" t="str">
        <f>IF(OR(F42="N/A",F43="N/A"),"No",IF(AND(F42&gt;=$D42,F43&gt;=$D43),"Yes","No"))</f>
        <v>No</v>
      </c>
      <c r="G44" s="4" t="str">
        <f>IF(OR(G42="N/A",G43="N/A"),"No",IF(AND(G42&gt;=$D42,G43&gt;=$D43),"Yes","No"))</f>
        <v>No</v>
      </c>
      <c r="H44" s="4" t="str">
        <f>IF(OR(H42="N/A",H43="N/A"),"No",IF(AND(H42&gt;=$D42,H43&gt;=$D43),"Yes","No"))</f>
        <v>No</v>
      </c>
      <c r="I44" s="289" t="str">
        <f>IF(OR(I42="N/A",I43="N/A"),"No",IF(AND(I42&gt;=$D42,I43&gt;=$D43),"Yes","No"))</f>
        <v>No</v>
      </c>
      <c r="J44" s="312"/>
      <c r="K44" s="4" t="str">
        <f>IF(OR(K42="N/A",K43="N/A"),"No",IF(AND(K42&gt;=$D42,K43&gt;=$D43),"Yes","No"))</f>
        <v>No</v>
      </c>
      <c r="L44" s="289" t="str">
        <f>IF(OR(L42="N/A",L43="N/A"),"No",IF(AND(L42&gt;=$D42,L43&gt;=$D43),"Yes","No"))</f>
        <v>No</v>
      </c>
      <c r="M44" s="312"/>
      <c r="N44" s="289" t="str">
        <f>IF(OR(N42="N/A",N43="N/A"),"No",IF(AND(N42&gt;=$D42,N43&gt;=$D43),"Yes","No"))</f>
        <v>No</v>
      </c>
      <c r="O44" s="312"/>
      <c r="P44" s="9"/>
    </row>
    <row r="45" spans="1:16" ht="12" customHeight="1">
      <c r="A45" s="7"/>
      <c r="B45" s="8"/>
      <c r="C45" s="8"/>
      <c r="D45" s="8"/>
      <c r="E45" s="8"/>
      <c r="F45" s="8"/>
      <c r="G45" s="29"/>
      <c r="H45" s="8"/>
      <c r="I45" s="8"/>
      <c r="J45" s="8"/>
      <c r="K45" s="8"/>
      <c r="L45" s="8"/>
      <c r="M45" s="8"/>
      <c r="N45" s="8"/>
      <c r="O45" s="29"/>
      <c r="P45" s="9"/>
    </row>
    <row r="46" spans="1:16">
      <c r="A46" s="7"/>
      <c r="B46" s="25" t="s">
        <v>63</v>
      </c>
      <c r="C46" s="8"/>
      <c r="D46" s="8"/>
      <c r="E46" s="8"/>
      <c r="F46" s="8"/>
      <c r="G46" s="29"/>
      <c r="H46" s="8"/>
      <c r="I46" s="8"/>
      <c r="J46" s="26" t="s">
        <v>64</v>
      </c>
      <c r="K46" s="26" t="s">
        <v>73</v>
      </c>
      <c r="L46" s="46" t="str">
        <f>IF(COUNTIF(E51:O51,"Yes")&gt;=8,"X","")</f>
        <v/>
      </c>
      <c r="M46" s="8"/>
      <c r="N46" s="26" t="s">
        <v>74</v>
      </c>
      <c r="O46" s="46" t="str">
        <f>IF(L46="X","","X")</f>
        <v>X</v>
      </c>
      <c r="P46" s="9"/>
    </row>
    <row r="47" spans="1:16" ht="6" customHeight="1">
      <c r="A47" s="7"/>
      <c r="B47" s="8"/>
      <c r="C47" s="8"/>
      <c r="D47" s="8"/>
      <c r="E47" s="8"/>
      <c r="F47" s="8"/>
      <c r="G47" s="29"/>
      <c r="H47" s="8"/>
      <c r="I47" s="8"/>
      <c r="J47" s="8"/>
      <c r="K47" s="8"/>
      <c r="L47" s="8"/>
      <c r="M47" s="8"/>
      <c r="N47" s="8"/>
      <c r="O47" s="29"/>
      <c r="P47" s="9"/>
    </row>
    <row r="48" spans="1:16" ht="21" customHeight="1">
      <c r="A48" s="7"/>
      <c r="B48" s="8"/>
      <c r="C48" s="74" t="s">
        <v>54</v>
      </c>
      <c r="D48" s="74" t="s">
        <v>55</v>
      </c>
      <c r="E48" s="115" t="str">
        <f>Worksheet!BO18</f>
        <v>N/A</v>
      </c>
      <c r="F48" s="115" t="str">
        <f>Worksheet!BO19</f>
        <v>N/A</v>
      </c>
      <c r="G48" s="115" t="str">
        <f>Worksheet!BO20</f>
        <v>N/A</v>
      </c>
      <c r="H48" s="115" t="str">
        <f>Worksheet!BO21</f>
        <v>N/A</v>
      </c>
      <c r="I48" s="327" t="str">
        <f>Worksheet!BO22</f>
        <v>N/A</v>
      </c>
      <c r="J48" s="328"/>
      <c r="K48" s="115" t="str">
        <f>Worksheet!BO23</f>
        <v>N/A</v>
      </c>
      <c r="L48" s="331" t="str">
        <f>Worksheet!BO24</f>
        <v>N/A</v>
      </c>
      <c r="M48" s="332"/>
      <c r="N48" s="331" t="str">
        <f>Worksheet!BO25</f>
        <v>N/A</v>
      </c>
      <c r="O48" s="332"/>
      <c r="P48" s="9"/>
    </row>
    <row r="49" spans="1:16" ht="21" customHeight="1">
      <c r="A49" s="7"/>
      <c r="B49" s="75" t="s">
        <v>75</v>
      </c>
      <c r="C49" s="83">
        <f>$N$10</f>
        <v>0</v>
      </c>
      <c r="D49" s="83">
        <f>IF(Worksheet!$BT$6="No",IF($N$10&gt;1,720,600),IF($N$10&gt;1,504,420))</f>
        <v>420</v>
      </c>
      <c r="E49" s="82" t="str">
        <f>Worksheet!$BP$18</f>
        <v>N/A</v>
      </c>
      <c r="F49" s="82" t="str">
        <f>Worksheet!$BP$19</f>
        <v>N/A</v>
      </c>
      <c r="G49" s="82" t="str">
        <f>Worksheet!$BP$20</f>
        <v>N/A</v>
      </c>
      <c r="H49" s="82" t="str">
        <f>Worksheet!$BP$21</f>
        <v>N/A</v>
      </c>
      <c r="I49" s="329" t="str">
        <f>Worksheet!$BP$22</f>
        <v>N/A</v>
      </c>
      <c r="J49" s="330"/>
      <c r="K49" s="82" t="str">
        <f>Worksheet!$BP$23</f>
        <v>N/A</v>
      </c>
      <c r="L49" s="325" t="str">
        <f>Worksheet!$BP$24</f>
        <v>N/A</v>
      </c>
      <c r="M49" s="326"/>
      <c r="N49" s="325" t="str">
        <f>Worksheet!$BP$25</f>
        <v>N/A</v>
      </c>
      <c r="O49" s="326"/>
      <c r="P49" s="9"/>
    </row>
    <row r="50" spans="1:16" ht="21" customHeight="1">
      <c r="A50" s="7"/>
      <c r="B50" s="76" t="s">
        <v>76</v>
      </c>
      <c r="C50" s="83">
        <f>$N$12</f>
        <v>0</v>
      </c>
      <c r="D50" s="83">
        <f>IF(Worksheet!$BT$6="No",IF($N$12&gt;1,80,60),IF($N$12&gt;1,56,42))</f>
        <v>42</v>
      </c>
      <c r="E50" s="82" t="str">
        <f>Worksheet!$BQ$18</f>
        <v>N/A</v>
      </c>
      <c r="F50" s="82" t="str">
        <f>Worksheet!$BQ$19</f>
        <v>N/A</v>
      </c>
      <c r="G50" s="82" t="str">
        <f>Worksheet!$BQ$20</f>
        <v>N/A</v>
      </c>
      <c r="H50" s="82" t="str">
        <f>Worksheet!$BQ$21</f>
        <v>N/A</v>
      </c>
      <c r="I50" s="329" t="str">
        <f>Worksheet!$BQ$22</f>
        <v>N/A</v>
      </c>
      <c r="J50" s="330"/>
      <c r="K50" s="82" t="str">
        <f>Worksheet!$BQ$23</f>
        <v>N/A</v>
      </c>
      <c r="L50" s="325" t="str">
        <f>Worksheet!$BQ$24</f>
        <v>N/A</v>
      </c>
      <c r="M50" s="326"/>
      <c r="N50" s="325" t="str">
        <f>Worksheet!$BQ$25</f>
        <v>N/A</v>
      </c>
      <c r="O50" s="326"/>
      <c r="P50" s="9"/>
    </row>
    <row r="51" spans="1:16" ht="15" customHeight="1">
      <c r="A51" s="7"/>
      <c r="B51" s="8"/>
      <c r="C51" s="324" t="s">
        <v>56</v>
      </c>
      <c r="D51" s="324"/>
      <c r="E51" s="4" t="str">
        <f>IF(OR(E49="N/A",E50="N/A"),"No",IF(AND(E49&gt;=$D49,E50&gt;=$D50),"Yes","No"))</f>
        <v>No</v>
      </c>
      <c r="F51" s="4" t="str">
        <f>IF(OR(F49="N/A",F50="N/A"),"No",IF(AND(F49&gt;=$D49,F50&gt;=$D50),"Yes","No"))</f>
        <v>No</v>
      </c>
      <c r="G51" s="4" t="str">
        <f>IF(OR(G49="N/A",G50="N/A"),"No",IF(AND(G49&gt;=$D49,G50&gt;=$D50),"Yes","No"))</f>
        <v>No</v>
      </c>
      <c r="H51" s="4" t="str">
        <f>IF(OR(H49="N/A",H50="N/A"),"No",IF(AND(H49&gt;=$D49,H50&gt;=$D50),"Yes","No"))</f>
        <v>No</v>
      </c>
      <c r="I51" s="289" t="str">
        <f>IF(OR(I49="N/A",I50="N/A"),"No",IF(AND(I49&gt;=$D49,I50&gt;=$D50),"Yes","No"))</f>
        <v>No</v>
      </c>
      <c r="J51" s="312"/>
      <c r="K51" s="4" t="str">
        <f>IF(OR(K49="N/A",K50="N/A"),"No",IF(AND(K49&gt;=$D49,K50&gt;=$D50),"Yes","No"))</f>
        <v>No</v>
      </c>
      <c r="L51" s="289" t="str">
        <f>IF(OR(L49="N/A",L50="N/A"),"No",IF(AND(L49&gt;=$D49,L50&gt;=$D50),"Yes","No"))</f>
        <v>No</v>
      </c>
      <c r="M51" s="312"/>
      <c r="N51" s="289" t="str">
        <f>IF(OR(N49="N/A",N50="N/A"),"No",IF(AND(N49&gt;=$D49,N50&gt;=$D50),"Yes","No"))</f>
        <v>No</v>
      </c>
      <c r="O51" s="312"/>
      <c r="P51" s="9"/>
    </row>
    <row r="52" spans="1:16" ht="12" customHeight="1" thickBot="1">
      <c r="A52" s="27"/>
      <c r="B52" s="10"/>
      <c r="C52" s="10"/>
      <c r="D52" s="10"/>
      <c r="E52" s="10"/>
      <c r="F52" s="10"/>
      <c r="G52" s="70"/>
      <c r="H52" s="10"/>
      <c r="I52" s="10"/>
      <c r="J52" s="10"/>
      <c r="K52" s="10"/>
      <c r="L52" s="10"/>
      <c r="M52" s="10"/>
      <c r="N52" s="10"/>
      <c r="O52" s="70"/>
      <c r="P52" s="11"/>
    </row>
  </sheetData>
  <sheetProtection algorithmName="SHA-512" hashValue="jcVUPgcYHO5P3OnbY2nDDswLvjnyJIsmlXmBjzQike2Idm8fvmKfkYqgB0dm1o522vdCWcGjTVm7yg+YXi+zbw==" saltValue="N0lVuJz0B6kW8+oDEeIKIw==" spinCount="100000" sheet="1" objects="1" scenarios="1" selectLockedCells="1"/>
  <protectedRanges>
    <protectedRange sqref="N14" name="Range1"/>
  </protectedRanges>
  <mergeCells count="69">
    <mergeCell ref="C10:E10"/>
    <mergeCell ref="C12:E12"/>
    <mergeCell ref="I7:J7"/>
    <mergeCell ref="N10:O10"/>
    <mergeCell ref="N12:O12"/>
    <mergeCell ref="I10:J10"/>
    <mergeCell ref="I12:J12"/>
    <mergeCell ref="C27:D27"/>
    <mergeCell ref="I25:J25"/>
    <mergeCell ref="I26:J26"/>
    <mergeCell ref="I27:J27"/>
    <mergeCell ref="I24:J24"/>
    <mergeCell ref="L24:M24"/>
    <mergeCell ref="L25:M25"/>
    <mergeCell ref="L26:M26"/>
    <mergeCell ref="L27:M27"/>
    <mergeCell ref="O14:O16"/>
    <mergeCell ref="I41:J41"/>
    <mergeCell ref="L41:M41"/>
    <mergeCell ref="I32:J32"/>
    <mergeCell ref="L32:M32"/>
    <mergeCell ref="I33:J33"/>
    <mergeCell ref="L33:M33"/>
    <mergeCell ref="I34:J34"/>
    <mergeCell ref="L34:M34"/>
    <mergeCell ref="C44:D44"/>
    <mergeCell ref="I44:J44"/>
    <mergeCell ref="L44:M44"/>
    <mergeCell ref="N24:O24"/>
    <mergeCell ref="N25:O25"/>
    <mergeCell ref="N26:O26"/>
    <mergeCell ref="N27:O27"/>
    <mergeCell ref="N41:O41"/>
    <mergeCell ref="N32:O32"/>
    <mergeCell ref="N33:O33"/>
    <mergeCell ref="N34:O34"/>
    <mergeCell ref="N35:O35"/>
    <mergeCell ref="C35:D35"/>
    <mergeCell ref="I35:J35"/>
    <mergeCell ref="L35:M35"/>
    <mergeCell ref="L42:M42"/>
    <mergeCell ref="I42:J42"/>
    <mergeCell ref="N44:O44"/>
    <mergeCell ref="N48:O48"/>
    <mergeCell ref="N49:O49"/>
    <mergeCell ref="N50:O50"/>
    <mergeCell ref="I43:J43"/>
    <mergeCell ref="L43:M43"/>
    <mergeCell ref="L48:M48"/>
    <mergeCell ref="I49:J49"/>
    <mergeCell ref="L49:M49"/>
    <mergeCell ref="I50:J50"/>
    <mergeCell ref="L50:M50"/>
    <mergeCell ref="N51:O51"/>
    <mergeCell ref="B2:O2"/>
    <mergeCell ref="B3:O3"/>
    <mergeCell ref="B7:C7"/>
    <mergeCell ref="B8:C8"/>
    <mergeCell ref="E7:F7"/>
    <mergeCell ref="E8:F8"/>
    <mergeCell ref="M7:O7"/>
    <mergeCell ref="M5:O5"/>
    <mergeCell ref="I5:J5"/>
    <mergeCell ref="C51:D51"/>
    <mergeCell ref="I51:J51"/>
    <mergeCell ref="L51:M51"/>
    <mergeCell ref="N42:O42"/>
    <mergeCell ref="N43:O43"/>
    <mergeCell ref="I48:J48"/>
  </mergeCells>
  <phoneticPr fontId="7" type="noConversion"/>
  <conditionalFormatting sqref="E27:O27 E35:O35 E44:O44 E51:O51">
    <cfRule type="cellIs" dxfId="78" priority="1" stopIfTrue="1" operator="equal">
      <formula>"Yes"</formula>
    </cfRule>
    <cfRule type="cellIs" dxfId="77" priority="2" stopIfTrue="1" operator="equal">
      <formula>"No"</formula>
    </cfRule>
  </conditionalFormatting>
  <conditionalFormatting sqref="E25:O25">
    <cfRule type="cellIs" dxfId="76" priority="3" stopIfTrue="1" operator="equal">
      <formula>"N/A"</formula>
    </cfRule>
    <cfRule type="cellIs" dxfId="75" priority="4" stopIfTrue="1" operator="greaterThanOrEqual">
      <formula>$D$25</formula>
    </cfRule>
    <cfRule type="cellIs" dxfId="74" priority="5" stopIfTrue="1" operator="lessThan">
      <formula>$D$25</formula>
    </cfRule>
  </conditionalFormatting>
  <conditionalFormatting sqref="E26:O26">
    <cfRule type="cellIs" dxfId="73" priority="6" stopIfTrue="1" operator="equal">
      <formula>"N/A"</formula>
    </cfRule>
    <cfRule type="cellIs" dxfId="72" priority="7" stopIfTrue="1" operator="greaterThanOrEqual">
      <formula>$D$26</formula>
    </cfRule>
    <cfRule type="cellIs" dxfId="71" priority="8" stopIfTrue="1" operator="lessThan">
      <formula>$D$26</formula>
    </cfRule>
  </conditionalFormatting>
  <conditionalFormatting sqref="E33:O33">
    <cfRule type="cellIs" dxfId="70" priority="9" stopIfTrue="1" operator="equal">
      <formula>"N/A"</formula>
    </cfRule>
    <cfRule type="cellIs" dxfId="69" priority="10" stopIfTrue="1" operator="greaterThanOrEqual">
      <formula>$D$33</formula>
    </cfRule>
    <cfRule type="cellIs" dxfId="68" priority="11" stopIfTrue="1" operator="lessThan">
      <formula>$D$33</formula>
    </cfRule>
  </conditionalFormatting>
  <conditionalFormatting sqref="E34:O34">
    <cfRule type="cellIs" dxfId="67" priority="12" stopIfTrue="1" operator="equal">
      <formula>"N/A"</formula>
    </cfRule>
    <cfRule type="cellIs" dxfId="66" priority="13" stopIfTrue="1" operator="greaterThanOrEqual">
      <formula>$D$34</formula>
    </cfRule>
    <cfRule type="cellIs" dxfId="65" priority="14" stopIfTrue="1" operator="lessThan">
      <formula>$D$34</formula>
    </cfRule>
  </conditionalFormatting>
  <conditionalFormatting sqref="E42:O42">
    <cfRule type="cellIs" dxfId="64" priority="15" stopIfTrue="1" operator="equal">
      <formula>"N/A"</formula>
    </cfRule>
    <cfRule type="cellIs" dxfId="63" priority="16" stopIfTrue="1" operator="greaterThanOrEqual">
      <formula>$D$42</formula>
    </cfRule>
    <cfRule type="cellIs" dxfId="62" priority="17" stopIfTrue="1" operator="lessThan">
      <formula>$D$42</formula>
    </cfRule>
  </conditionalFormatting>
  <conditionalFormatting sqref="E43:O43">
    <cfRule type="cellIs" dxfId="61" priority="18" stopIfTrue="1" operator="equal">
      <formula>"N/A"</formula>
    </cfRule>
    <cfRule type="cellIs" dxfId="60" priority="19" stopIfTrue="1" operator="greaterThanOrEqual">
      <formula>$D$43</formula>
    </cfRule>
    <cfRule type="cellIs" dxfId="59" priority="20" stopIfTrue="1" operator="lessThan">
      <formula>$D$43</formula>
    </cfRule>
  </conditionalFormatting>
  <conditionalFormatting sqref="E49:O49">
    <cfRule type="cellIs" dxfId="58" priority="21" stopIfTrue="1" operator="equal">
      <formula>"N/A"</formula>
    </cfRule>
    <cfRule type="cellIs" dxfId="57" priority="22" stopIfTrue="1" operator="greaterThanOrEqual">
      <formula>$D$49</formula>
    </cfRule>
    <cfRule type="cellIs" dxfId="56" priority="23" stopIfTrue="1" operator="lessThan">
      <formula>$D$49</formula>
    </cfRule>
  </conditionalFormatting>
  <conditionalFormatting sqref="E50:O50">
    <cfRule type="cellIs" dxfId="55" priority="24" stopIfTrue="1" operator="equal">
      <formula>"N/A"</formula>
    </cfRule>
    <cfRule type="cellIs" dxfId="54" priority="25" stopIfTrue="1" operator="greaterThanOrEqual">
      <formula>$D$50</formula>
    </cfRule>
    <cfRule type="cellIs" dxfId="53" priority="26" stopIfTrue="1" operator="lessThan">
      <formula>$D$50</formula>
    </cfRule>
  </conditionalFormatting>
  <printOptions horizontalCentered="1" vertic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T54"/>
  <sheetViews>
    <sheetView zoomScaleNormal="100" workbookViewId="0"/>
  </sheetViews>
  <sheetFormatPr defaultRowHeight="12.75"/>
  <cols>
    <col min="1" max="1" width="1.7109375" customWidth="1"/>
    <col min="2" max="2" width="6.7109375" customWidth="1"/>
    <col min="3" max="3" width="5.85546875" customWidth="1"/>
    <col min="4" max="4" width="3.7109375" customWidth="1"/>
    <col min="5" max="6" width="5.7109375" customWidth="1"/>
    <col min="7" max="7" width="6" customWidth="1"/>
    <col min="8" max="8" width="4" customWidth="1"/>
    <col min="9" max="9" width="3.7109375" customWidth="1"/>
    <col min="10" max="14" width="6.5703125" customWidth="1"/>
    <col min="15" max="15" width="6.5703125" style="31" customWidth="1"/>
    <col min="16" max="16" width="3.7109375" customWidth="1"/>
    <col min="17" max="18" width="2.85546875" customWidth="1"/>
    <col min="19" max="19" width="3.7109375" customWidth="1"/>
    <col min="20" max="20" width="1.7109375" customWidth="1"/>
  </cols>
  <sheetData>
    <row r="1" spans="1:20" ht="9" customHeight="1">
      <c r="A1" s="139"/>
      <c r="B1" s="143" t="str">
        <f>'Input Sheet'!B1</f>
        <v>Form TR-01, Revised 3/10/15</v>
      </c>
      <c r="C1" s="13"/>
      <c r="D1" s="13"/>
      <c r="E1" s="13"/>
      <c r="F1" s="13"/>
      <c r="G1" s="13"/>
      <c r="H1" s="13"/>
      <c r="I1" s="13"/>
      <c r="J1" s="13"/>
      <c r="K1" s="13"/>
      <c r="L1" s="13"/>
      <c r="M1" s="13"/>
      <c r="N1" s="13"/>
      <c r="O1" s="69"/>
      <c r="P1" s="13"/>
      <c r="Q1" s="13"/>
      <c r="R1" s="13"/>
      <c r="S1" s="144" t="s">
        <v>306</v>
      </c>
      <c r="T1" s="14"/>
    </row>
    <row r="2" spans="1:20" ht="15.75">
      <c r="A2" s="7"/>
      <c r="B2" s="342" t="str">
        <f>'Pg 1'!B2:O2</f>
        <v>WYOMING DEPARTMENT OF TRANSPORTATION</v>
      </c>
      <c r="C2" s="342"/>
      <c r="D2" s="342"/>
      <c r="E2" s="342"/>
      <c r="F2" s="342"/>
      <c r="G2" s="342"/>
      <c r="H2" s="342"/>
      <c r="I2" s="342"/>
      <c r="J2" s="342"/>
      <c r="K2" s="342"/>
      <c r="L2" s="342"/>
      <c r="M2" s="342"/>
      <c r="N2" s="342"/>
      <c r="O2" s="342"/>
      <c r="P2" s="342"/>
      <c r="Q2" s="342"/>
      <c r="R2" s="342"/>
      <c r="S2" s="342"/>
      <c r="T2" s="9"/>
    </row>
    <row r="3" spans="1:20" ht="15.75">
      <c r="A3" s="7"/>
      <c r="B3" s="299" t="s">
        <v>47</v>
      </c>
      <c r="C3" s="299"/>
      <c r="D3" s="299"/>
      <c r="E3" s="299"/>
      <c r="F3" s="299"/>
      <c r="G3" s="299"/>
      <c r="H3" s="299"/>
      <c r="I3" s="299"/>
      <c r="J3" s="299"/>
      <c r="K3" s="299"/>
      <c r="L3" s="299"/>
      <c r="M3" s="299"/>
      <c r="N3" s="299"/>
      <c r="O3" s="299"/>
      <c r="P3" s="299"/>
      <c r="Q3" s="299"/>
      <c r="R3" s="299"/>
      <c r="S3" s="299"/>
      <c r="T3" s="9"/>
    </row>
    <row r="4" spans="1:20" ht="6" customHeight="1">
      <c r="A4" s="7"/>
      <c r="B4" s="22"/>
      <c r="C4" s="22"/>
      <c r="D4" s="22"/>
      <c r="E4" s="22"/>
      <c r="F4" s="22"/>
      <c r="G4" s="22"/>
      <c r="H4" s="22"/>
      <c r="I4" s="22"/>
      <c r="J4" s="22"/>
      <c r="K4" s="22"/>
      <c r="L4" s="22"/>
      <c r="M4" s="22"/>
      <c r="N4" s="22"/>
      <c r="O4" s="22"/>
      <c r="P4" s="22"/>
      <c r="Q4" s="22"/>
      <c r="R4" s="22"/>
      <c r="S4" s="22"/>
      <c r="T4" s="9"/>
    </row>
    <row r="5" spans="1:20" ht="21" customHeight="1">
      <c r="A5" s="7"/>
      <c r="B5" s="24" t="s">
        <v>77</v>
      </c>
      <c r="C5" s="8"/>
      <c r="D5" s="8"/>
      <c r="E5" s="8"/>
      <c r="F5" s="8"/>
      <c r="G5" s="8"/>
      <c r="H5" s="8"/>
      <c r="I5" s="8"/>
      <c r="J5" s="8"/>
      <c r="K5" s="8"/>
      <c r="L5" s="8"/>
      <c r="M5" s="8"/>
      <c r="N5" s="8"/>
      <c r="O5" s="29"/>
      <c r="P5" s="8"/>
      <c r="Q5" s="8"/>
      <c r="R5" s="8"/>
      <c r="S5" s="8"/>
      <c r="T5" s="9"/>
    </row>
    <row r="6" spans="1:20" ht="13.15" customHeight="1">
      <c r="A6" s="7"/>
      <c r="B6" s="24"/>
      <c r="C6" s="8"/>
      <c r="D6" s="8"/>
      <c r="E6" s="8"/>
      <c r="F6" s="8"/>
      <c r="G6" s="8"/>
      <c r="H6" s="8"/>
      <c r="I6" s="8"/>
      <c r="J6" s="8"/>
      <c r="K6" s="30"/>
      <c r="L6" s="30"/>
      <c r="M6" s="30"/>
      <c r="N6" s="26" t="s">
        <v>95</v>
      </c>
      <c r="O6" s="26" t="s">
        <v>73</v>
      </c>
      <c r="P6" s="46" t="str">
        <f>IF(COUNTIF(J11:R11,"Yes")&gt;=4,"X","")</f>
        <v/>
      </c>
      <c r="Q6" s="8"/>
      <c r="R6" s="26" t="s">
        <v>74</v>
      </c>
      <c r="S6" s="46" t="str">
        <f>IF(P6="X","","X")</f>
        <v>X</v>
      </c>
      <c r="T6" s="9"/>
    </row>
    <row r="7" spans="1:20" ht="6" customHeight="1">
      <c r="A7" s="7"/>
      <c r="B7" s="8"/>
      <c r="C7" s="8"/>
      <c r="D7" s="8"/>
      <c r="E7" s="8"/>
      <c r="F7" s="8"/>
      <c r="G7" s="8"/>
      <c r="H7" s="8"/>
      <c r="I7" s="8"/>
      <c r="J7" s="8"/>
      <c r="K7" s="8"/>
      <c r="L7" s="8"/>
      <c r="M7" s="8"/>
      <c r="N7" s="8"/>
      <c r="O7" s="29"/>
      <c r="P7" s="8"/>
      <c r="Q7" s="8"/>
      <c r="R7" s="8"/>
      <c r="S7" s="8"/>
      <c r="T7" s="9"/>
    </row>
    <row r="8" spans="1:20" ht="15" customHeight="1">
      <c r="A8" s="51"/>
      <c r="B8" s="340" t="s">
        <v>78</v>
      </c>
      <c r="C8" s="341"/>
      <c r="D8" s="29"/>
      <c r="E8" s="29"/>
      <c r="F8" s="29"/>
      <c r="G8" s="29"/>
      <c r="H8" s="29"/>
      <c r="I8" s="29"/>
      <c r="J8" s="119" t="str">
        <f>Worksheet!CA18</f>
        <v>N/A</v>
      </c>
      <c r="K8" s="116" t="str">
        <f>Worksheet!CA19</f>
        <v>N/A</v>
      </c>
      <c r="L8" s="116" t="str">
        <f>Worksheet!CA20</f>
        <v>N/A</v>
      </c>
      <c r="M8" s="116" t="str">
        <f>Worksheet!CA21</f>
        <v>N/A</v>
      </c>
      <c r="N8" s="116" t="str">
        <f>Worksheet!CA22</f>
        <v>N/A</v>
      </c>
      <c r="O8" s="116" t="str">
        <f>Worksheet!CA23</f>
        <v>N/A</v>
      </c>
      <c r="P8" s="327" t="str">
        <f>Worksheet!CA24</f>
        <v>N/A</v>
      </c>
      <c r="Q8" s="328"/>
      <c r="R8" s="327" t="str">
        <f>Worksheet!CA25</f>
        <v>N/A</v>
      </c>
      <c r="S8" s="328"/>
      <c r="T8" s="9"/>
    </row>
    <row r="9" spans="1:20" ht="15" customHeight="1">
      <c r="A9" s="7"/>
      <c r="B9" s="345" t="s">
        <v>261</v>
      </c>
      <c r="C9" s="346"/>
      <c r="D9" s="46" t="s">
        <v>83</v>
      </c>
      <c r="E9" s="84" t="s">
        <v>84</v>
      </c>
      <c r="F9" s="73"/>
      <c r="G9" s="73"/>
      <c r="H9" s="73"/>
      <c r="I9" s="73"/>
      <c r="J9" s="109" t="str">
        <f>Worksheet!CB18</f>
        <v>N/A</v>
      </c>
      <c r="K9" s="47" t="str">
        <f>Worksheet!CB19</f>
        <v>N/A</v>
      </c>
      <c r="L9" s="47" t="str">
        <f>Worksheet!CB20</f>
        <v>N/A</v>
      </c>
      <c r="M9" s="47" t="str">
        <f>Worksheet!CB21</f>
        <v>N/A</v>
      </c>
      <c r="N9" s="47" t="str">
        <f>Worksheet!CB22</f>
        <v>N/A</v>
      </c>
      <c r="O9" s="47" t="str">
        <f>Worksheet!CB23</f>
        <v>N/A</v>
      </c>
      <c r="P9" s="343" t="str">
        <f>Worksheet!CB24</f>
        <v>N/A</v>
      </c>
      <c r="Q9" s="344"/>
      <c r="R9" s="343" t="str">
        <f>Worksheet!CB25</f>
        <v>N/A</v>
      </c>
      <c r="S9" s="344"/>
      <c r="T9" s="9"/>
    </row>
    <row r="10" spans="1:20" ht="15" customHeight="1">
      <c r="A10" s="7"/>
      <c r="B10" s="345" t="s">
        <v>262</v>
      </c>
      <c r="C10" s="346"/>
      <c r="D10" s="46" t="s">
        <v>85</v>
      </c>
      <c r="E10" s="84" t="s">
        <v>86</v>
      </c>
      <c r="F10" s="73"/>
      <c r="G10" s="73"/>
      <c r="H10" s="73"/>
      <c r="I10" s="73"/>
      <c r="J10" s="109" t="str">
        <f>Worksheet!CC18</f>
        <v>N/A</v>
      </c>
      <c r="K10" s="47" t="str">
        <f>Worksheet!CC19</f>
        <v>N/A</v>
      </c>
      <c r="L10" s="47" t="str">
        <f>Worksheet!CC20</f>
        <v>N/A</v>
      </c>
      <c r="M10" s="47" t="str">
        <f>Worksheet!CC21</f>
        <v>N/A</v>
      </c>
      <c r="N10" s="47" t="str">
        <f>Worksheet!CC22</f>
        <v>N/A</v>
      </c>
      <c r="O10" s="47" t="str">
        <f>Worksheet!CC23</f>
        <v>N/A</v>
      </c>
      <c r="P10" s="343" t="str">
        <f>Worksheet!CC24</f>
        <v>N/A</v>
      </c>
      <c r="Q10" s="344"/>
      <c r="R10" s="343" t="str">
        <f>Worksheet!CC25</f>
        <v>N/A</v>
      </c>
      <c r="S10" s="344"/>
      <c r="T10" s="9"/>
    </row>
    <row r="11" spans="1:20" ht="15" customHeight="1">
      <c r="A11" s="7"/>
      <c r="B11" s="335" t="str">
        <f>CONCATENATE("Does plotted point fall above curve on Figure 4C-",IF(OR('Pg 1'!N14="X",'Pg 1'!N16="X"),"2? ","1? "))</f>
        <v xml:space="preserve">Does plotted point fall above curve on Figure 4C-2? </v>
      </c>
      <c r="C11" s="336"/>
      <c r="D11" s="336"/>
      <c r="E11" s="336"/>
      <c r="F11" s="336"/>
      <c r="G11" s="336"/>
      <c r="H11" s="336"/>
      <c r="I11" s="337"/>
      <c r="J11" s="54" t="str">
        <f>Worksheet!CD18</f>
        <v>N/A</v>
      </c>
      <c r="K11" s="4" t="str">
        <f>Worksheet!CD19</f>
        <v>N/A</v>
      </c>
      <c r="L11" s="4" t="str">
        <f>Worksheet!CD20</f>
        <v>N/A</v>
      </c>
      <c r="M11" s="4" t="str">
        <f>Worksheet!CD21</f>
        <v>N/A</v>
      </c>
      <c r="N11" s="4" t="str">
        <f>Worksheet!CD22</f>
        <v>N/A</v>
      </c>
      <c r="O11" s="4" t="str">
        <f>Worksheet!CD23</f>
        <v>N/A</v>
      </c>
      <c r="P11" s="304" t="str">
        <f>Worksheet!CD24</f>
        <v>N/A</v>
      </c>
      <c r="Q11" s="304"/>
      <c r="R11" s="304" t="str">
        <f>Worksheet!CD25</f>
        <v>N/A</v>
      </c>
      <c r="S11" s="304"/>
      <c r="T11" s="9"/>
    </row>
    <row r="12" spans="1:20" ht="13.5" customHeight="1">
      <c r="A12" s="7"/>
      <c r="B12" s="86" t="str">
        <f>CONCATENATE("*Refer to MUTCD Figure 4C-",IF(OR('Pg 1'!N$14="X",'Pg 1'!N16="X"),"2","1")," to determine if this warrant is satisfied")</f>
        <v>*Refer to MUTCD Figure 4C-2 to determine if this warrant is satisfied</v>
      </c>
      <c r="C12" s="8"/>
      <c r="D12" s="8"/>
      <c r="E12" s="8"/>
      <c r="F12" s="8"/>
      <c r="G12" s="8"/>
      <c r="H12" s="8"/>
      <c r="I12" s="8"/>
      <c r="J12" s="8"/>
      <c r="K12" s="8"/>
      <c r="L12" s="8"/>
      <c r="M12" s="8"/>
      <c r="N12" s="8"/>
      <c r="O12" s="29"/>
      <c r="P12" s="8"/>
      <c r="Q12" s="8"/>
      <c r="R12" s="8"/>
      <c r="S12" s="8"/>
      <c r="T12" s="9"/>
    </row>
    <row r="13" spans="1:20" ht="15" customHeight="1">
      <c r="A13" s="7"/>
      <c r="B13" s="8"/>
      <c r="C13" s="8"/>
      <c r="D13" s="8"/>
      <c r="E13" s="8"/>
      <c r="F13" s="8"/>
      <c r="G13" s="8"/>
      <c r="H13" s="8"/>
      <c r="I13" s="8"/>
      <c r="J13" s="8"/>
      <c r="K13" s="8"/>
      <c r="L13" s="8"/>
      <c r="M13" s="8"/>
      <c r="N13" s="8"/>
      <c r="O13" s="29"/>
      <c r="P13" s="8"/>
      <c r="Q13" s="8"/>
      <c r="R13" s="8"/>
      <c r="S13" s="8"/>
      <c r="T13" s="9"/>
    </row>
    <row r="14" spans="1:20" ht="21" customHeight="1">
      <c r="A14" s="7"/>
      <c r="B14" s="24" t="s">
        <v>88</v>
      </c>
      <c r="C14" s="8"/>
      <c r="D14" s="8"/>
      <c r="E14" s="8"/>
      <c r="F14" s="8"/>
      <c r="G14" s="8"/>
      <c r="H14" s="8"/>
      <c r="I14" s="8"/>
      <c r="J14" s="8"/>
      <c r="K14" s="8"/>
      <c r="L14" s="8"/>
      <c r="M14" s="8"/>
      <c r="N14" s="8"/>
      <c r="O14" s="29"/>
      <c r="P14" s="8"/>
      <c r="Q14" s="8"/>
      <c r="R14" s="8"/>
      <c r="S14" s="8"/>
      <c r="T14" s="9"/>
    </row>
    <row r="15" spans="1:20" ht="9" customHeight="1">
      <c r="A15" s="7"/>
      <c r="B15" s="24"/>
      <c r="C15" s="8"/>
      <c r="D15" s="8"/>
      <c r="E15" s="8"/>
      <c r="F15" s="8"/>
      <c r="G15" s="8"/>
      <c r="H15" s="8"/>
      <c r="I15" s="8"/>
      <c r="J15" s="8"/>
      <c r="K15" s="8"/>
      <c r="L15" s="8"/>
      <c r="M15" s="8"/>
      <c r="N15" s="8"/>
      <c r="O15" s="29"/>
      <c r="P15" s="8"/>
      <c r="Q15" s="8"/>
      <c r="R15" s="8"/>
      <c r="S15" s="8"/>
      <c r="T15" s="9"/>
    </row>
    <row r="16" spans="1:20">
      <c r="A16" s="7"/>
      <c r="B16" s="25" t="s">
        <v>97</v>
      </c>
      <c r="C16" s="8"/>
      <c r="D16" s="8"/>
      <c r="E16" s="8"/>
      <c r="F16" s="8"/>
      <c r="G16" s="8"/>
      <c r="H16" s="8"/>
      <c r="I16" s="8"/>
      <c r="J16" s="8"/>
      <c r="K16" s="30"/>
      <c r="L16" s="30"/>
      <c r="M16" s="30"/>
      <c r="N16" s="26" t="s">
        <v>95</v>
      </c>
      <c r="O16" s="26" t="s">
        <v>73</v>
      </c>
      <c r="P16" s="59" t="str">
        <f>IF(AND(P20="X",P22="X",P24="X"),"X"," ")</f>
        <v xml:space="preserve"> </v>
      </c>
      <c r="Q16" s="8"/>
      <c r="R16" s="26" t="s">
        <v>74</v>
      </c>
      <c r="S16" s="46" t="str">
        <f>IF(P16="X","","X")</f>
        <v>X</v>
      </c>
      <c r="T16" s="9"/>
    </row>
    <row r="17" spans="1:20" ht="6" customHeight="1">
      <c r="A17" s="7"/>
      <c r="B17" s="25"/>
      <c r="C17" s="8"/>
      <c r="D17" s="8"/>
      <c r="E17" s="8"/>
      <c r="F17" s="8"/>
      <c r="G17" s="8"/>
      <c r="H17" s="8"/>
      <c r="I17" s="8"/>
      <c r="J17" s="8"/>
      <c r="K17" s="30"/>
      <c r="L17" s="30"/>
      <c r="M17" s="30"/>
      <c r="N17" s="29"/>
      <c r="O17" s="26"/>
      <c r="P17" s="71"/>
      <c r="Q17" s="8"/>
      <c r="R17" s="26"/>
      <c r="S17" s="71"/>
      <c r="T17" s="9"/>
    </row>
    <row r="18" spans="1:20" ht="13.15" customHeight="1">
      <c r="A18" s="7"/>
      <c r="B18" s="89" t="s">
        <v>268</v>
      </c>
      <c r="C18" s="32"/>
      <c r="D18" s="32"/>
      <c r="E18" s="32"/>
      <c r="F18" s="32"/>
      <c r="G18" s="32"/>
      <c r="H18" s="32"/>
      <c r="I18" s="32"/>
      <c r="J18" s="32"/>
      <c r="K18" s="32"/>
      <c r="L18" s="32"/>
      <c r="M18" s="32"/>
      <c r="N18" s="32"/>
      <c r="O18" s="289" t="s">
        <v>89</v>
      </c>
      <c r="P18" s="347"/>
      <c r="Q18" s="347"/>
      <c r="R18" s="347"/>
      <c r="S18" s="312"/>
      <c r="T18" s="9"/>
    </row>
    <row r="19" spans="1:20" ht="13.15" customHeight="1">
      <c r="A19" s="7"/>
      <c r="B19" s="90" t="s">
        <v>267</v>
      </c>
      <c r="C19" s="28"/>
      <c r="D19" s="28"/>
      <c r="E19" s="28"/>
      <c r="F19" s="28"/>
      <c r="G19" s="28"/>
      <c r="H19" s="28"/>
      <c r="I19" s="28"/>
      <c r="J19" s="28"/>
      <c r="K19" s="28"/>
      <c r="L19" s="28"/>
      <c r="M19" s="28"/>
      <c r="N19" s="35"/>
      <c r="O19"/>
      <c r="S19" s="50"/>
      <c r="T19" s="9"/>
    </row>
    <row r="20" spans="1:20">
      <c r="A20" s="7"/>
      <c r="B20" s="37"/>
      <c r="E20" s="96" t="s">
        <v>90</v>
      </c>
      <c r="F20" s="91" t="str">
        <f>IF(LARGE(Worksheet!$E39:$E51,1)=0,"N/A",LARGE(Worksheet!$E39:$E51,1))</f>
        <v>N/A</v>
      </c>
      <c r="G20" s="338" t="s">
        <v>90</v>
      </c>
      <c r="H20" s="339"/>
      <c r="I20" s="339"/>
      <c r="J20" s="91" t="str">
        <f>IF(LARGE(Worksheet!$E39:$E51,2)=0,"N/A",LARGE(Worksheet!$E39:$E51,2))</f>
        <v>N/A</v>
      </c>
      <c r="L20" s="96" t="s">
        <v>90</v>
      </c>
      <c r="M20" s="92" t="str">
        <f>IF(LARGE(Worksheet!$E39:$E51,3)=0,"N/A",LARGE(Worksheet!$E39:$E51,3))</f>
        <v>N/A</v>
      </c>
      <c r="N20" s="93" t="s">
        <v>96</v>
      </c>
      <c r="O20" s="63" t="s">
        <v>87</v>
      </c>
      <c r="P20" s="46" t="str">
        <f>IF(OR(F20="N/A",J20="N/A",M20="N/A"),"",IF(AND(F20&gt;=20,J20&gt;=20,M20&gt;=20),"X"," "))</f>
        <v/>
      </c>
      <c r="Q20" s="37"/>
      <c r="R20" s="38" t="s">
        <v>57</v>
      </c>
      <c r="S20" s="46" t="str">
        <f>IF(P20="X","","X")</f>
        <v>X</v>
      </c>
      <c r="T20" s="9"/>
    </row>
    <row r="21" spans="1:20" ht="13.15" customHeight="1">
      <c r="A21" s="7"/>
      <c r="B21" s="89" t="s">
        <v>271</v>
      </c>
      <c r="C21" s="32"/>
      <c r="D21" s="32"/>
      <c r="E21" s="32"/>
      <c r="F21" s="32"/>
      <c r="G21" s="32"/>
      <c r="H21" s="32"/>
      <c r="I21" s="32"/>
      <c r="J21" s="32"/>
      <c r="K21" s="32"/>
      <c r="L21" s="32"/>
      <c r="M21" s="32"/>
      <c r="N21" s="34"/>
      <c r="O21" s="41"/>
      <c r="P21" s="33"/>
      <c r="R21" s="33"/>
      <c r="S21" s="34"/>
      <c r="T21" s="9"/>
    </row>
    <row r="22" spans="1:20">
      <c r="A22" s="7"/>
      <c r="B22" s="90" t="str">
        <f>CONCATENATE("      traffic or 150 vph for two moving lanes. (Actual volume ",Worksheet!CH37,", Hour Beginning ",Worksheet!CH35,")")</f>
        <v xml:space="preserve">      traffic or 150 vph for two moving lanes. (Actual volume 0, Hour Beginning N/A)</v>
      </c>
      <c r="C22" s="28"/>
      <c r="D22" s="28"/>
      <c r="E22" s="28"/>
      <c r="F22" s="28"/>
      <c r="G22" s="28"/>
      <c r="H22" s="28"/>
      <c r="I22" s="28"/>
      <c r="J22" s="28"/>
      <c r="K22" s="28"/>
      <c r="L22" s="28"/>
      <c r="M22" s="28"/>
      <c r="N22" s="40" t="s">
        <v>96</v>
      </c>
      <c r="O22" s="63" t="s">
        <v>87</v>
      </c>
      <c r="P22" s="46" t="str">
        <f>IF(Worksheet!CG42&gt;=1,"X",IF(Worksheet!CH37&gt;=Worksheet!CG38,"X"," "))</f>
        <v xml:space="preserve"> </v>
      </c>
      <c r="Q22" s="37"/>
      <c r="R22" s="38" t="s">
        <v>57</v>
      </c>
      <c r="S22" s="46" t="str">
        <f>IF(P22="X","","X")</f>
        <v>X</v>
      </c>
      <c r="T22" s="9"/>
    </row>
    <row r="23" spans="1:20" ht="13.15" customHeight="1">
      <c r="A23" s="7"/>
      <c r="B23" s="94" t="s">
        <v>272</v>
      </c>
      <c r="C23" s="33"/>
      <c r="D23" s="33"/>
      <c r="E23" s="33"/>
      <c r="F23" s="33"/>
      <c r="G23" s="33"/>
      <c r="H23" s="33"/>
      <c r="I23" s="33"/>
      <c r="J23" s="33"/>
      <c r="K23" s="33"/>
      <c r="L23" s="33"/>
      <c r="M23" s="33"/>
      <c r="N23" s="34"/>
      <c r="O23" s="41"/>
      <c r="P23" s="33"/>
      <c r="R23" s="33"/>
      <c r="S23" s="34"/>
      <c r="T23" s="9"/>
    </row>
    <row r="24" spans="1:20" ht="13.15" customHeight="1">
      <c r="A24" s="7"/>
      <c r="B24" s="95" t="str">
        <f>CONCATENATE("      three approaches or 800 vph for intersections with four or more approaches.  (Actual volume ",Worksheet!CH36,")")</f>
        <v xml:space="preserve">      three approaches or 800 vph for intersections with four or more approaches.  (Actual volume 0)</v>
      </c>
      <c r="C24" s="2"/>
      <c r="D24" s="2"/>
      <c r="E24" s="2"/>
      <c r="F24" s="2"/>
      <c r="G24" s="2"/>
      <c r="H24" s="2"/>
      <c r="I24" s="2"/>
      <c r="J24" s="2"/>
      <c r="K24" s="2"/>
      <c r="L24" s="2"/>
      <c r="M24" s="2"/>
      <c r="N24" s="42"/>
      <c r="O24" s="63" t="s">
        <v>87</v>
      </c>
      <c r="P24" s="46" t="str">
        <f>IF(Worksheet!CG42&gt;=1,"X",IF(Worksheet!CH36&gt;=Worksheet!CG34,"X"," "))</f>
        <v xml:space="preserve"> </v>
      </c>
      <c r="Q24" s="37"/>
      <c r="R24" s="38" t="s">
        <v>57</v>
      </c>
      <c r="S24" s="46" t="str">
        <f>IF(P24="X","","X")</f>
        <v>X</v>
      </c>
      <c r="T24" s="9"/>
    </row>
    <row r="25" spans="1:20" ht="15" customHeight="1">
      <c r="A25" s="7"/>
      <c r="B25" s="8"/>
      <c r="C25" s="8"/>
      <c r="D25" s="8"/>
      <c r="E25" s="8"/>
      <c r="F25" s="8"/>
      <c r="G25" s="8"/>
      <c r="H25" s="8"/>
      <c r="I25" s="8"/>
      <c r="J25" s="8"/>
      <c r="K25" s="8"/>
      <c r="L25" s="8"/>
      <c r="M25" s="8"/>
      <c r="N25" s="29"/>
      <c r="O25" s="8"/>
      <c r="P25" s="8"/>
      <c r="Q25" s="8"/>
      <c r="R25" s="8"/>
      <c r="S25" s="8"/>
      <c r="T25" s="9"/>
    </row>
    <row r="26" spans="1:20" ht="13.15" customHeight="1">
      <c r="A26" s="7"/>
      <c r="B26" s="25" t="s">
        <v>63</v>
      </c>
      <c r="C26" s="8"/>
      <c r="D26" s="8"/>
      <c r="E26" s="8"/>
      <c r="F26" s="8"/>
      <c r="G26" s="8"/>
      <c r="H26" s="8"/>
      <c r="I26" s="8"/>
      <c r="J26" s="8"/>
      <c r="K26" s="30"/>
      <c r="L26" s="30"/>
      <c r="M26" s="30"/>
      <c r="N26" s="26" t="s">
        <v>95</v>
      </c>
      <c r="O26" s="26" t="s">
        <v>73</v>
      </c>
      <c r="P26" s="46" t="str">
        <f>IF(COUNTIF($J$31:$R$31,"Yes")&gt;=1,"X"," ")</f>
        <v xml:space="preserve"> </v>
      </c>
      <c r="Q26" s="8"/>
      <c r="R26" s="26" t="s">
        <v>74</v>
      </c>
      <c r="S26" s="46" t="str">
        <f>IF(P26="X","","X")</f>
        <v>X</v>
      </c>
      <c r="T26" s="9"/>
    </row>
    <row r="27" spans="1:20" ht="6" customHeight="1">
      <c r="A27" s="7"/>
      <c r="D27" s="8"/>
      <c r="E27" s="8"/>
      <c r="F27" s="8"/>
      <c r="G27" s="8"/>
      <c r="H27" s="8"/>
      <c r="I27" s="8"/>
      <c r="J27" s="29"/>
      <c r="O27" s="77"/>
      <c r="P27" s="8"/>
      <c r="Q27" s="8"/>
      <c r="R27" s="8"/>
      <c r="S27" s="8"/>
      <c r="T27" s="9"/>
    </row>
    <row r="28" spans="1:20" ht="15" customHeight="1">
      <c r="A28" s="7"/>
      <c r="B28" s="340" t="s">
        <v>78</v>
      </c>
      <c r="C28" s="341"/>
      <c r="D28" s="8"/>
      <c r="E28" s="8"/>
      <c r="F28" s="8"/>
      <c r="G28" s="8"/>
      <c r="H28" s="8"/>
      <c r="I28" s="8"/>
      <c r="J28" s="119" t="str">
        <f>Worksheet!CS18</f>
        <v>N/A</v>
      </c>
      <c r="K28" s="116" t="str">
        <f>Worksheet!CS19</f>
        <v>N/A</v>
      </c>
      <c r="L28" s="116" t="str">
        <f>Worksheet!CS20</f>
        <v>N/A</v>
      </c>
      <c r="M28" s="116" t="str">
        <f>Worksheet!CS21</f>
        <v>N/A</v>
      </c>
      <c r="N28" s="116" t="str">
        <f>Worksheet!CS22</f>
        <v>N/A</v>
      </c>
      <c r="O28" s="116" t="str">
        <f>Worksheet!CS23</f>
        <v>N/A</v>
      </c>
      <c r="P28" s="327" t="str">
        <f>Worksheet!CS24</f>
        <v>N/A</v>
      </c>
      <c r="Q28" s="328"/>
      <c r="R28" s="327" t="str">
        <f>Worksheet!CS25</f>
        <v>N/A</v>
      </c>
      <c r="S28" s="328"/>
      <c r="T28" s="9"/>
    </row>
    <row r="29" spans="1:20" ht="15" customHeight="1">
      <c r="A29" s="7"/>
      <c r="B29" s="44" t="s">
        <v>261</v>
      </c>
      <c r="C29" s="45"/>
      <c r="D29" s="46" t="s">
        <v>83</v>
      </c>
      <c r="E29" s="84" t="s">
        <v>98</v>
      </c>
      <c r="F29" s="73"/>
      <c r="G29" s="73"/>
      <c r="H29" s="73"/>
      <c r="I29" s="73"/>
      <c r="J29" s="109" t="str">
        <f>Worksheet!$CT18</f>
        <v>N/A</v>
      </c>
      <c r="K29" s="47" t="str">
        <f>Worksheet!$CT19</f>
        <v>N/A</v>
      </c>
      <c r="L29" s="47" t="str">
        <f>Worksheet!$CT20</f>
        <v>N/A</v>
      </c>
      <c r="M29" s="47" t="str">
        <f>Worksheet!$CT21</f>
        <v>N/A</v>
      </c>
      <c r="N29" s="47" t="str">
        <f>Worksheet!$CT22</f>
        <v>N/A</v>
      </c>
      <c r="O29" s="47" t="str">
        <f>Worksheet!$CT23</f>
        <v>N/A</v>
      </c>
      <c r="P29" s="343" t="str">
        <f>Worksheet!$CT24</f>
        <v>N/A</v>
      </c>
      <c r="Q29" s="344"/>
      <c r="R29" s="343" t="str">
        <f>Worksheet!$CT25</f>
        <v>N/A</v>
      </c>
      <c r="S29" s="344"/>
      <c r="T29" s="9"/>
    </row>
    <row r="30" spans="1:20" s="31" customFormat="1" ht="15" customHeight="1">
      <c r="A30" s="51"/>
      <c r="B30" s="60" t="s">
        <v>262</v>
      </c>
      <c r="C30" s="58"/>
      <c r="D30" s="59" t="s">
        <v>85</v>
      </c>
      <c r="E30" s="87" t="s">
        <v>99</v>
      </c>
      <c r="F30" s="32"/>
      <c r="G30" s="32"/>
      <c r="H30" s="32"/>
      <c r="I30" s="32"/>
      <c r="J30" s="109" t="str">
        <f>Worksheet!$CU18</f>
        <v>N/A</v>
      </c>
      <c r="K30" s="47" t="str">
        <f>Worksheet!$CU19</f>
        <v>N/A</v>
      </c>
      <c r="L30" s="47" t="str">
        <f>Worksheet!$CU20</f>
        <v>N/A</v>
      </c>
      <c r="M30" s="47" t="str">
        <f>Worksheet!$CU21</f>
        <v>N/A</v>
      </c>
      <c r="N30" s="47" t="str">
        <f>Worksheet!$CU22</f>
        <v>N/A</v>
      </c>
      <c r="O30" s="47" t="str">
        <f>Worksheet!$CU23</f>
        <v>N/A</v>
      </c>
      <c r="P30" s="343" t="str">
        <f>Worksheet!$CU24</f>
        <v>N/A</v>
      </c>
      <c r="Q30" s="344"/>
      <c r="R30" s="343" t="str">
        <f>Worksheet!$CU25</f>
        <v>N/A</v>
      </c>
      <c r="S30" s="344"/>
      <c r="T30" s="52"/>
    </row>
    <row r="31" spans="1:20" ht="15" customHeight="1">
      <c r="A31" s="7"/>
      <c r="B31" s="335" t="str">
        <f>CONCATENATE("Does plotted point fall above curve on Figure 4C-",IF(OR('Pg 1'!N14="X",'Pg 1'!N16="X"),"4? ","3? "))</f>
        <v xml:space="preserve">Does plotted point fall above curve on Figure 4C-4? </v>
      </c>
      <c r="C31" s="336"/>
      <c r="D31" s="336"/>
      <c r="E31" s="336"/>
      <c r="F31" s="336"/>
      <c r="G31" s="336"/>
      <c r="H31" s="336"/>
      <c r="I31" s="337"/>
      <c r="J31" s="54" t="str">
        <f>Worksheet!$CV18</f>
        <v>N/A</v>
      </c>
      <c r="K31" s="4" t="str">
        <f>Worksheet!$CV19</f>
        <v>N/A</v>
      </c>
      <c r="L31" s="4" t="str">
        <f>Worksheet!$CV20</f>
        <v>N/A</v>
      </c>
      <c r="M31" s="4" t="str">
        <f>Worksheet!$CV21</f>
        <v>N/A</v>
      </c>
      <c r="N31" s="4" t="str">
        <f>Worksheet!$CV22</f>
        <v>N/A</v>
      </c>
      <c r="O31" s="4" t="str">
        <f>Worksheet!$CV23</f>
        <v>N/A</v>
      </c>
      <c r="P31" s="304" t="str">
        <f>Worksheet!$CV24</f>
        <v>N/A</v>
      </c>
      <c r="Q31" s="304"/>
      <c r="R31" s="304" t="str">
        <f>Worksheet!$CV25</f>
        <v>N/A</v>
      </c>
      <c r="S31" s="304"/>
      <c r="T31" s="9"/>
    </row>
    <row r="32" spans="1:20" ht="13.5" customHeight="1">
      <c r="A32" s="7"/>
      <c r="B32" s="86" t="str">
        <f>CONCATENATE("*Refer to MUTCD Figure 4C-",IF(OR('Pg 1'!N$14="X",'Pg 1'!N16="X"),"4","3")," to determine if this warrant is satisfied")</f>
        <v>*Refer to MUTCD Figure 4C-4 to determine if this warrant is satisfied</v>
      </c>
      <c r="C32" s="8"/>
      <c r="D32" s="8"/>
      <c r="E32" s="8"/>
      <c r="F32" s="8"/>
      <c r="G32" s="8"/>
      <c r="H32" s="8"/>
      <c r="I32" s="8"/>
      <c r="J32" s="8"/>
      <c r="K32" s="8"/>
      <c r="L32" s="8"/>
      <c r="M32" s="8"/>
      <c r="N32" s="8"/>
      <c r="O32" s="29"/>
      <c r="P32" s="8"/>
      <c r="Q32" s="8"/>
      <c r="R32" s="8"/>
      <c r="S32" s="8"/>
      <c r="T32" s="9"/>
    </row>
    <row r="33" spans="1:20" ht="9" customHeight="1">
      <c r="A33" s="7"/>
      <c r="B33" s="8"/>
      <c r="C33" s="8"/>
      <c r="D33" s="8"/>
      <c r="E33" s="8"/>
      <c r="F33" s="8"/>
      <c r="G33" s="8"/>
      <c r="H33" s="8"/>
      <c r="I33" s="8"/>
      <c r="J33" s="8"/>
      <c r="K33" s="8"/>
      <c r="L33" s="8"/>
      <c r="M33" s="8"/>
      <c r="N33" s="8"/>
      <c r="O33" s="29"/>
      <c r="P33" s="8"/>
      <c r="Q33" s="8"/>
      <c r="R33" s="8"/>
      <c r="S33" s="8"/>
      <c r="T33" s="9"/>
    </row>
    <row r="34" spans="1:20" ht="24" customHeight="1">
      <c r="A34" s="7"/>
      <c r="B34" s="24" t="s">
        <v>91</v>
      </c>
      <c r="C34" s="8"/>
      <c r="D34" s="8"/>
      <c r="E34" s="8"/>
      <c r="F34" s="8"/>
      <c r="G34" s="8"/>
      <c r="H34" s="8"/>
      <c r="I34" s="8"/>
      <c r="J34" s="8"/>
      <c r="K34" s="8"/>
      <c r="L34" s="8"/>
      <c r="M34" s="8"/>
      <c r="N34" s="8"/>
      <c r="O34" s="29"/>
      <c r="P34" s="8"/>
      <c r="Q34" s="8"/>
      <c r="R34" s="8"/>
      <c r="S34" s="8"/>
      <c r="T34" s="9"/>
    </row>
    <row r="35" spans="1:20" ht="13.15" customHeight="1">
      <c r="A35" s="7"/>
      <c r="B35" s="118" t="s">
        <v>293</v>
      </c>
      <c r="C35" s="8"/>
      <c r="D35" s="8"/>
      <c r="E35" s="8"/>
      <c r="F35" s="8"/>
      <c r="G35" s="29"/>
      <c r="H35" s="46" t="str">
        <f>IF(Worksheet!EH6="Yes","Yes","No")</f>
        <v>No</v>
      </c>
      <c r="K35" s="26"/>
      <c r="L35" s="26"/>
      <c r="M35" s="26"/>
      <c r="N35" s="26" t="s">
        <v>297</v>
      </c>
      <c r="O35" s="26" t="s">
        <v>73</v>
      </c>
      <c r="P35" s="46" t="str">
        <f>IF(COUNTIF(J42:R42,"Yes")&gt;=4,"X","")</f>
        <v/>
      </c>
      <c r="Q35" s="8"/>
      <c r="R35" s="26" t="s">
        <v>74</v>
      </c>
      <c r="S35" s="46" t="str">
        <f>IF(P35="X","","X")</f>
        <v>X</v>
      </c>
      <c r="T35" s="9"/>
    </row>
    <row r="36" spans="1:20" ht="9" customHeight="1">
      <c r="A36" s="7"/>
      <c r="B36" s="8"/>
      <c r="C36" s="8"/>
      <c r="D36" s="29"/>
      <c r="E36" s="29"/>
      <c r="F36" s="29"/>
      <c r="G36" s="8"/>
      <c r="H36" s="8"/>
      <c r="I36" s="8"/>
      <c r="J36" s="8"/>
      <c r="K36" s="8"/>
      <c r="L36" s="8"/>
      <c r="M36" s="8"/>
      <c r="O36" s="8"/>
      <c r="P36" s="8"/>
      <c r="Q36" s="8"/>
      <c r="R36" s="8"/>
      <c r="S36" s="8"/>
      <c r="T36" s="9"/>
    </row>
    <row r="37" spans="1:20" s="31" customFormat="1" ht="13.15" customHeight="1">
      <c r="A37" s="51"/>
      <c r="B37" s="29"/>
      <c r="E37" s="120"/>
      <c r="F37" s="120"/>
      <c r="G37" s="120"/>
      <c r="H37" s="120"/>
      <c r="I37" s="111"/>
      <c r="J37" s="29"/>
      <c r="K37" s="26"/>
      <c r="L37" s="26"/>
      <c r="M37" s="26"/>
      <c r="N37" s="26" t="s">
        <v>298</v>
      </c>
      <c r="O37" s="26" t="s">
        <v>73</v>
      </c>
      <c r="P37" s="46" t="str">
        <f>IF(COUNTIF(J43:R43,"Yes")&gt;=1,"X","")</f>
        <v/>
      </c>
      <c r="Q37" s="8"/>
      <c r="R37" s="26" t="s">
        <v>74</v>
      </c>
      <c r="S37" s="46" t="str">
        <f>IF(P37="X","","X")</f>
        <v>X</v>
      </c>
      <c r="T37" s="52"/>
    </row>
    <row r="38" spans="1:20" s="31" customFormat="1" ht="6" customHeight="1">
      <c r="A38" s="51"/>
      <c r="B38" s="29"/>
      <c r="E38" s="120"/>
      <c r="F38" s="120"/>
      <c r="G38" s="120"/>
      <c r="H38" s="120"/>
      <c r="I38" s="111"/>
      <c r="J38" s="8"/>
      <c r="K38" s="29"/>
      <c r="L38" s="29"/>
      <c r="M38" s="29"/>
      <c r="N38" s="29"/>
      <c r="O38" s="29"/>
      <c r="P38" s="29"/>
      <c r="Q38" s="29"/>
      <c r="R38" s="29"/>
      <c r="S38" s="29"/>
      <c r="T38" s="52"/>
    </row>
    <row r="39" spans="1:20" ht="13.15" customHeight="1">
      <c r="A39" s="7"/>
      <c r="B39" s="29"/>
      <c r="E39" s="120"/>
      <c r="F39" s="120"/>
      <c r="G39" s="120"/>
      <c r="H39" s="120"/>
      <c r="I39" s="111"/>
      <c r="J39" s="119" t="str">
        <f>Worksheet!FB18</f>
        <v>N/A</v>
      </c>
      <c r="K39" s="116" t="str">
        <f>Worksheet!FB19</f>
        <v>N/A</v>
      </c>
      <c r="L39" s="116" t="str">
        <f>Worksheet!FB20</f>
        <v>N/A</v>
      </c>
      <c r="M39" s="116" t="str">
        <f>Worksheet!FB21</f>
        <v>N/A</v>
      </c>
      <c r="N39" s="116" t="str">
        <f>Worksheet!FB22</f>
        <v>N/A</v>
      </c>
      <c r="O39" s="116" t="str">
        <f>Worksheet!FB23</f>
        <v>N/A</v>
      </c>
      <c r="P39" s="327" t="str">
        <f>Worksheet!FB24</f>
        <v>N/A</v>
      </c>
      <c r="Q39" s="328"/>
      <c r="R39" s="327" t="str">
        <f>Worksheet!FB25</f>
        <v>N/A</v>
      </c>
      <c r="S39" s="328"/>
      <c r="T39" s="9"/>
    </row>
    <row r="40" spans="1:20" ht="14.25" customHeight="1">
      <c r="A40" s="7"/>
      <c r="B40" s="335" t="s">
        <v>309</v>
      </c>
      <c r="C40" s="336"/>
      <c r="D40" s="336"/>
      <c r="E40" s="336"/>
      <c r="F40" s="336"/>
      <c r="G40" s="336"/>
      <c r="H40" s="336"/>
      <c r="I40" s="337"/>
      <c r="J40" s="54" t="str">
        <f>Worksheet!$FD18</f>
        <v>N/A</v>
      </c>
      <c r="K40" s="4" t="str">
        <f>Worksheet!$FD19</f>
        <v>N/A</v>
      </c>
      <c r="L40" s="4" t="str">
        <f>Worksheet!$FD20</f>
        <v>N/A</v>
      </c>
      <c r="M40" s="4" t="str">
        <f>Worksheet!$FD21</f>
        <v>N/A</v>
      </c>
      <c r="N40" s="4" t="str">
        <f>Worksheet!$FD22</f>
        <v>N/A</v>
      </c>
      <c r="O40" s="4" t="str">
        <f>Worksheet!$FD23</f>
        <v>N/A</v>
      </c>
      <c r="P40" s="304" t="str">
        <f>Worksheet!$FD24</f>
        <v>N/A</v>
      </c>
      <c r="Q40" s="304"/>
      <c r="R40" s="304" t="str">
        <f>Worksheet!$FD25</f>
        <v>N/A</v>
      </c>
      <c r="S40" s="304"/>
      <c r="T40" s="9"/>
    </row>
    <row r="41" spans="1:20" ht="14.25" customHeight="1">
      <c r="A41" s="7"/>
      <c r="B41" s="335" t="s">
        <v>308</v>
      </c>
      <c r="C41" s="336"/>
      <c r="D41" s="336"/>
      <c r="E41" s="336"/>
      <c r="F41" s="336"/>
      <c r="G41" s="336"/>
      <c r="H41" s="336"/>
      <c r="I41" s="337"/>
      <c r="J41" s="109" t="str">
        <f>Worksheet!$FC18</f>
        <v>N/A</v>
      </c>
      <c r="K41" s="110" t="str">
        <f>Worksheet!$FC19</f>
        <v>N/A</v>
      </c>
      <c r="L41" s="110" t="str">
        <f>Worksheet!$FC20</f>
        <v>N/A</v>
      </c>
      <c r="M41" s="110" t="str">
        <f>Worksheet!$FC21</f>
        <v>N/A</v>
      </c>
      <c r="N41" s="110" t="str">
        <f>Worksheet!$FC22</f>
        <v>N/A</v>
      </c>
      <c r="O41" s="110" t="str">
        <f>Worksheet!$FC23</f>
        <v>N/A</v>
      </c>
      <c r="P41" s="343" t="str">
        <f>Worksheet!$FC24</f>
        <v>N/A</v>
      </c>
      <c r="Q41" s="344"/>
      <c r="R41" s="343" t="str">
        <f>Worksheet!$FC25</f>
        <v>N/A</v>
      </c>
      <c r="S41" s="344"/>
      <c r="T41" s="9"/>
    </row>
    <row r="42" spans="1:20" ht="14.25" customHeight="1">
      <c r="A42" s="7"/>
      <c r="B42" s="335" t="str">
        <f>CONCATENATE("Does plotted point fall above curve on Figure 4C-",IF(H35="Yes","6? ","5? "))</f>
        <v xml:space="preserve">Does plotted point fall above curve on Figure 4C-5? </v>
      </c>
      <c r="C42" s="336"/>
      <c r="D42" s="336"/>
      <c r="E42" s="336"/>
      <c r="F42" s="336"/>
      <c r="G42" s="336"/>
      <c r="H42" s="336"/>
      <c r="I42" s="337"/>
      <c r="J42" s="54" t="str">
        <f>Worksheet!FE18</f>
        <v>N/A</v>
      </c>
      <c r="K42" s="4" t="str">
        <f>Worksheet!FE19</f>
        <v>N/A</v>
      </c>
      <c r="L42" s="4" t="str">
        <f>Worksheet!FE20</f>
        <v>N/A</v>
      </c>
      <c r="M42" s="4" t="str">
        <f>Worksheet!FE21</f>
        <v>N/A</v>
      </c>
      <c r="N42" s="4" t="str">
        <f>Worksheet!FE22</f>
        <v>N/A</v>
      </c>
      <c r="O42" s="4" t="str">
        <f>Worksheet!FE23</f>
        <v>N/A</v>
      </c>
      <c r="P42" s="304" t="str">
        <f>Worksheet!FE24</f>
        <v>N/A</v>
      </c>
      <c r="Q42" s="304"/>
      <c r="R42" s="304" t="str">
        <f>Worksheet!FE25</f>
        <v>N/A</v>
      </c>
      <c r="S42" s="304"/>
      <c r="T42" s="9"/>
    </row>
    <row r="43" spans="1:20" ht="14.25" customHeight="1">
      <c r="A43" s="7"/>
      <c r="B43" s="335" t="str">
        <f>CONCATENATE("Does plotted point fall above curve on Figure 4C-",IF(H35="Yes","8? ","7? "))</f>
        <v xml:space="preserve">Does plotted point fall above curve on Figure 4C-7? </v>
      </c>
      <c r="C43" s="336"/>
      <c r="D43" s="336"/>
      <c r="E43" s="336"/>
      <c r="F43" s="336"/>
      <c r="G43" s="336"/>
      <c r="H43" s="336"/>
      <c r="I43" s="337"/>
      <c r="J43" s="54" t="str">
        <f>Worksheet!FF18</f>
        <v>N/A</v>
      </c>
      <c r="K43" s="4" t="str">
        <f>Worksheet!FF19</f>
        <v>N/A</v>
      </c>
      <c r="L43" s="4" t="str">
        <f>Worksheet!FF20</f>
        <v>N/A</v>
      </c>
      <c r="M43" s="4" t="str">
        <f>Worksheet!FF21</f>
        <v>N/A</v>
      </c>
      <c r="N43" s="4" t="str">
        <f>Worksheet!FF22</f>
        <v>N/A</v>
      </c>
      <c r="O43" s="4" t="str">
        <f>Worksheet!FF23</f>
        <v>N/A</v>
      </c>
      <c r="P43" s="304" t="str">
        <f>Worksheet!FF24</f>
        <v>N/A</v>
      </c>
      <c r="Q43" s="304"/>
      <c r="R43" s="304" t="str">
        <f>Worksheet!FF25</f>
        <v>N/A</v>
      </c>
      <c r="S43" s="304"/>
      <c r="T43" s="9"/>
    </row>
    <row r="44" spans="1:20" ht="13.15" customHeight="1">
      <c r="A44" s="7"/>
      <c r="B44" s="88" t="s">
        <v>264</v>
      </c>
      <c r="C44" s="8"/>
      <c r="D44" s="8"/>
      <c r="E44" s="8"/>
      <c r="F44" s="8"/>
      <c r="G44" s="8"/>
      <c r="H44" s="8"/>
      <c r="I44" s="8"/>
      <c r="J44" s="8"/>
      <c r="K44" s="8"/>
      <c r="L44" s="8"/>
      <c r="M44" s="8"/>
      <c r="N44" s="8"/>
      <c r="O44" s="29"/>
      <c r="P44" s="8"/>
      <c r="Q44" s="8"/>
      <c r="R44" s="8"/>
      <c r="S44" s="8"/>
      <c r="T44" s="9"/>
    </row>
    <row r="45" spans="1:20" ht="13.15" customHeight="1">
      <c r="A45" s="7"/>
      <c r="B45" s="86" t="s">
        <v>263</v>
      </c>
      <c r="C45" s="8"/>
      <c r="D45" s="8"/>
      <c r="E45" s="8"/>
      <c r="F45" s="8"/>
      <c r="G45" s="8"/>
      <c r="H45" s="8"/>
      <c r="I45" s="8"/>
      <c r="J45" s="8"/>
      <c r="K45" s="8"/>
      <c r="L45" s="8"/>
      <c r="M45" s="8"/>
      <c r="N45" s="8"/>
      <c r="O45" s="29"/>
      <c r="P45" s="8"/>
      <c r="Q45" s="8"/>
      <c r="R45" s="8"/>
      <c r="S45" s="8"/>
      <c r="T45" s="9"/>
    </row>
    <row r="46" spans="1:20" ht="13.15" customHeight="1">
      <c r="A46" s="7"/>
      <c r="B46" s="88"/>
      <c r="C46" s="8"/>
      <c r="D46" s="8"/>
      <c r="E46" s="8"/>
      <c r="F46" s="8"/>
      <c r="G46" s="8"/>
      <c r="H46" s="8"/>
      <c r="I46" s="8"/>
      <c r="J46" s="8"/>
      <c r="K46" s="8"/>
      <c r="L46" s="8"/>
      <c r="M46" s="8"/>
      <c r="N46" s="8"/>
      <c r="O46" s="29"/>
      <c r="P46" s="8"/>
      <c r="Q46" s="8"/>
      <c r="R46" s="8"/>
      <c r="S46" s="8"/>
      <c r="T46" s="9"/>
    </row>
    <row r="47" spans="1:20" ht="13.15" customHeight="1">
      <c r="A47" s="7"/>
      <c r="B47" s="86" t="s">
        <v>266</v>
      </c>
      <c r="C47" s="8"/>
      <c r="D47" s="8"/>
      <c r="E47" s="8"/>
      <c r="F47" s="8"/>
      <c r="G47" s="8"/>
      <c r="H47" s="8"/>
      <c r="I47" s="8"/>
      <c r="J47" s="8"/>
      <c r="K47" s="8"/>
      <c r="L47" s="8"/>
      <c r="M47" s="8"/>
      <c r="N47" s="8"/>
      <c r="O47" s="29"/>
      <c r="P47" s="8"/>
      <c r="Q47" s="8"/>
      <c r="R47" s="8"/>
      <c r="S47" s="8"/>
      <c r="T47" s="9"/>
    </row>
    <row r="48" spans="1:20" ht="13.15" customHeight="1">
      <c r="A48" s="7"/>
      <c r="B48" s="86" t="s">
        <v>265</v>
      </c>
      <c r="C48" s="8"/>
      <c r="D48" s="8"/>
      <c r="E48" s="8"/>
      <c r="F48" s="8"/>
      <c r="G48" s="8"/>
      <c r="H48" s="8"/>
      <c r="I48" s="8"/>
      <c r="J48" s="8"/>
      <c r="K48" s="8"/>
      <c r="L48" s="8"/>
      <c r="M48" s="8"/>
      <c r="N48" s="8"/>
      <c r="O48" s="29"/>
      <c r="P48" s="8"/>
      <c r="Q48" s="8"/>
      <c r="R48" s="8"/>
      <c r="S48" s="8"/>
      <c r="T48" s="9"/>
    </row>
    <row r="49" spans="1:20" ht="15" customHeight="1">
      <c r="A49" s="7"/>
      <c r="B49" s="8"/>
      <c r="C49" s="8"/>
      <c r="D49" s="8"/>
      <c r="E49" s="8"/>
      <c r="F49" s="8"/>
      <c r="G49" s="8"/>
      <c r="H49" s="8"/>
      <c r="I49" s="8"/>
      <c r="J49" s="8"/>
      <c r="K49" s="8"/>
      <c r="L49" s="8"/>
      <c r="M49" s="8"/>
      <c r="N49" s="8"/>
      <c r="O49" s="29"/>
      <c r="P49" s="8"/>
      <c r="Q49" s="8"/>
      <c r="R49" s="8"/>
      <c r="S49" s="8"/>
      <c r="T49" s="9"/>
    </row>
    <row r="50" spans="1:20" ht="24" customHeight="1">
      <c r="A50" s="7"/>
      <c r="B50" s="24" t="s">
        <v>413</v>
      </c>
      <c r="C50" s="8"/>
      <c r="D50" s="8"/>
      <c r="E50" s="8"/>
      <c r="F50" s="8"/>
      <c r="G50" s="8"/>
      <c r="H50" s="8"/>
      <c r="I50" s="8"/>
      <c r="J50" s="8"/>
      <c r="K50" s="8"/>
      <c r="L50" s="8"/>
      <c r="M50" s="8"/>
      <c r="N50" s="8"/>
      <c r="O50" s="29"/>
      <c r="P50" s="8"/>
      <c r="Q50" s="8"/>
      <c r="R50" s="8"/>
      <c r="S50" s="8"/>
      <c r="T50" s="9"/>
    </row>
    <row r="51" spans="1:20" ht="13.15" customHeight="1">
      <c r="A51" s="7"/>
      <c r="B51" s="24"/>
      <c r="C51" s="8"/>
      <c r="D51" s="8"/>
      <c r="E51" s="8"/>
      <c r="F51" s="8"/>
      <c r="G51" s="8"/>
      <c r="H51" s="8"/>
      <c r="I51" s="8"/>
      <c r="J51" s="8"/>
      <c r="K51" s="8"/>
      <c r="L51" s="8"/>
      <c r="M51" s="8"/>
      <c r="N51" s="8"/>
      <c r="O51" s="26" t="s">
        <v>94</v>
      </c>
      <c r="P51" s="46" t="str">
        <f>IF(P53="X","","X")</f>
        <v>X</v>
      </c>
      <c r="T51" s="9"/>
    </row>
    <row r="52" spans="1:20" ht="12" customHeight="1">
      <c r="A52" s="7"/>
      <c r="B52" s="24"/>
      <c r="C52" s="8"/>
      <c r="D52" s="8"/>
      <c r="E52" s="8"/>
      <c r="F52" s="8"/>
      <c r="G52" s="8"/>
      <c r="H52" s="8"/>
      <c r="I52" s="8"/>
      <c r="J52" s="8"/>
      <c r="K52" s="8"/>
      <c r="L52" s="8"/>
      <c r="M52" s="8"/>
      <c r="N52" s="8"/>
      <c r="O52" s="26"/>
      <c r="P52" s="57"/>
      <c r="T52" s="9"/>
    </row>
    <row r="53" spans="1:20">
      <c r="A53" s="7"/>
      <c r="B53" s="8"/>
      <c r="C53" s="8"/>
      <c r="D53" s="8"/>
      <c r="E53" s="8"/>
      <c r="F53" s="8"/>
      <c r="G53" s="8"/>
      <c r="H53" s="8"/>
      <c r="I53" s="8"/>
      <c r="J53" s="8"/>
      <c r="K53" s="8"/>
      <c r="L53" s="8"/>
      <c r="M53" s="8"/>
      <c r="N53" s="8"/>
      <c r="O53" s="26" t="s">
        <v>418</v>
      </c>
      <c r="P53" s="46" t="str">
        <f>IF('Input Sheet'!$N$28="Yes","X"," ")</f>
        <v xml:space="preserve"> </v>
      </c>
      <c r="T53" s="9"/>
    </row>
    <row r="54" spans="1:20" ht="9" customHeight="1" thickBot="1">
      <c r="A54" s="27" t="s">
        <v>48</v>
      </c>
      <c r="B54" s="10"/>
      <c r="C54" s="10"/>
      <c r="D54" s="10"/>
      <c r="E54" s="10"/>
      <c r="F54" s="10"/>
      <c r="G54" s="10"/>
      <c r="H54" s="10"/>
      <c r="I54" s="10"/>
      <c r="J54" s="10"/>
      <c r="K54" s="10"/>
      <c r="L54" s="10"/>
      <c r="M54" s="10"/>
      <c r="N54" s="10"/>
      <c r="O54" s="70"/>
      <c r="P54" s="10"/>
      <c r="Q54" s="10"/>
      <c r="R54" s="10"/>
      <c r="S54" s="10"/>
      <c r="T54" s="11"/>
    </row>
  </sheetData>
  <sheetProtection algorithmName="SHA-512" hashValue="cCLrwDh9kKtGVSTo1QKCCsfU/PgdyPKze/68wGIG56zb6vU6VRmgpiYevC1wo7EHiqckbj8o+JKjkjYDhdO8NQ==" saltValue="6xCrU/iqYg9xOzwm/bXuZA==" spinCount="100000" sheet="1" objects="1" scenarios="1" selectLockedCells="1"/>
  <protectedRanges>
    <protectedRange sqref="H35" name="Range1"/>
  </protectedRanges>
  <mergeCells count="40">
    <mergeCell ref="R11:S11"/>
    <mergeCell ref="P28:Q28"/>
    <mergeCell ref="P29:Q29"/>
    <mergeCell ref="R43:S43"/>
    <mergeCell ref="P43:Q43"/>
    <mergeCell ref="P11:Q11"/>
    <mergeCell ref="O18:S18"/>
    <mergeCell ref="P31:Q31"/>
    <mergeCell ref="R29:S29"/>
    <mergeCell ref="R31:S31"/>
    <mergeCell ref="R30:S30"/>
    <mergeCell ref="R28:S28"/>
    <mergeCell ref="P30:Q30"/>
    <mergeCell ref="P41:Q41"/>
    <mergeCell ref="R41:S41"/>
    <mergeCell ref="R42:S42"/>
    <mergeCell ref="P39:Q39"/>
    <mergeCell ref="P40:Q40"/>
    <mergeCell ref="R39:S39"/>
    <mergeCell ref="R40:S40"/>
    <mergeCell ref="P42:Q42"/>
    <mergeCell ref="B2:S2"/>
    <mergeCell ref="B3:S3"/>
    <mergeCell ref="R10:S10"/>
    <mergeCell ref="R8:S8"/>
    <mergeCell ref="R9:S9"/>
    <mergeCell ref="B10:C10"/>
    <mergeCell ref="B9:C9"/>
    <mergeCell ref="B8:C8"/>
    <mergeCell ref="P10:Q10"/>
    <mergeCell ref="P9:Q9"/>
    <mergeCell ref="P8:Q8"/>
    <mergeCell ref="B11:I11"/>
    <mergeCell ref="B31:I31"/>
    <mergeCell ref="B40:I40"/>
    <mergeCell ref="B41:I41"/>
    <mergeCell ref="B43:I43"/>
    <mergeCell ref="G20:I20"/>
    <mergeCell ref="B42:I42"/>
    <mergeCell ref="B28:C28"/>
  </mergeCells>
  <phoneticPr fontId="7" type="noConversion"/>
  <conditionalFormatting sqref="J11:S11 J31:S31 J42:S43">
    <cfRule type="cellIs" dxfId="52" priority="13" stopIfTrue="1" operator="equal">
      <formula>"Close"</formula>
    </cfRule>
    <cfRule type="cellIs" dxfId="51" priority="14" stopIfTrue="1" operator="equal">
      <formula>"Yes"</formula>
    </cfRule>
    <cfRule type="cellIs" dxfId="50" priority="15" stopIfTrue="1" operator="equal">
      <formula>"No"</formula>
    </cfRule>
  </conditionalFormatting>
  <printOptions horizontalCentered="1" verticalCentered="1"/>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P60"/>
  <sheetViews>
    <sheetView zoomScaleNormal="100" workbookViewId="0"/>
  </sheetViews>
  <sheetFormatPr defaultRowHeight="12.75"/>
  <cols>
    <col min="1" max="1" width="1.7109375" customWidth="1"/>
    <col min="2" max="2" width="15.7109375" customWidth="1"/>
    <col min="3" max="3" width="14.7109375" customWidth="1"/>
    <col min="4" max="5" width="11.7109375" customWidth="1"/>
    <col min="6" max="6" width="4.7109375" customWidth="1"/>
    <col min="7" max="9" width="3.7109375" customWidth="1"/>
    <col min="10" max="10" width="3.85546875" customWidth="1"/>
    <col min="11" max="11" width="3.7109375" customWidth="1"/>
    <col min="12" max="12" width="4.28515625" customWidth="1"/>
    <col min="13" max="13" width="3.7109375" customWidth="1"/>
    <col min="14" max="14" width="4" customWidth="1"/>
    <col min="15" max="15" width="3.7109375" customWidth="1"/>
    <col min="16" max="16" width="1.7109375" customWidth="1"/>
  </cols>
  <sheetData>
    <row r="1" spans="1:16" ht="9" customHeight="1">
      <c r="A1" s="139"/>
      <c r="B1" s="143" t="str">
        <f>'Input Sheet'!B1</f>
        <v>Form TR-01, Revised 3/10/15</v>
      </c>
      <c r="C1" s="13"/>
      <c r="D1" s="13"/>
      <c r="E1" s="13"/>
      <c r="F1" s="13"/>
      <c r="G1" s="13"/>
      <c r="H1" s="13"/>
      <c r="I1" s="13"/>
      <c r="J1" s="13"/>
      <c r="K1" s="13"/>
      <c r="L1" s="13"/>
      <c r="M1" s="13"/>
      <c r="N1" s="13"/>
      <c r="O1" s="144" t="s">
        <v>307</v>
      </c>
      <c r="P1" s="14"/>
    </row>
    <row r="2" spans="1:16" ht="15.75">
      <c r="A2" s="7"/>
      <c r="B2" s="299" t="str">
        <f>'Pg 1'!B2:O2</f>
        <v>WYOMING DEPARTMENT OF TRANSPORTATION</v>
      </c>
      <c r="C2" s="299"/>
      <c r="D2" s="299"/>
      <c r="E2" s="299"/>
      <c r="F2" s="299"/>
      <c r="G2" s="299"/>
      <c r="H2" s="299"/>
      <c r="I2" s="299"/>
      <c r="J2" s="299"/>
      <c r="K2" s="299"/>
      <c r="L2" s="299"/>
      <c r="M2" s="299"/>
      <c r="N2" s="299"/>
      <c r="O2" s="299"/>
      <c r="P2" s="9"/>
    </row>
    <row r="3" spans="1:16" ht="15.75">
      <c r="A3" s="7"/>
      <c r="B3" s="299" t="s">
        <v>47</v>
      </c>
      <c r="C3" s="299"/>
      <c r="D3" s="299"/>
      <c r="E3" s="299"/>
      <c r="F3" s="299"/>
      <c r="G3" s="299"/>
      <c r="H3" s="299"/>
      <c r="I3" s="299"/>
      <c r="J3" s="299"/>
      <c r="K3" s="299"/>
      <c r="L3" s="299"/>
      <c r="M3" s="299"/>
      <c r="N3" s="299"/>
      <c r="O3" s="299"/>
      <c r="P3" s="9"/>
    </row>
    <row r="4" spans="1:16" ht="6" customHeight="1">
      <c r="A4" s="7"/>
      <c r="B4" s="8"/>
      <c r="C4" s="8"/>
      <c r="D4" s="8"/>
      <c r="E4" s="8"/>
      <c r="F4" s="8"/>
      <c r="G4" s="8"/>
      <c r="H4" s="8"/>
      <c r="I4" s="8"/>
      <c r="J4" s="8"/>
      <c r="K4" s="8"/>
      <c r="L4" s="8"/>
      <c r="M4" s="8"/>
      <c r="N4" s="8"/>
      <c r="O4" s="8"/>
      <c r="P4" s="9"/>
    </row>
    <row r="5" spans="1:16" ht="21" customHeight="1">
      <c r="A5" s="7"/>
      <c r="B5" s="24" t="s">
        <v>100</v>
      </c>
      <c r="C5" s="8"/>
      <c r="D5" s="8"/>
      <c r="E5" s="8"/>
      <c r="F5" s="8"/>
      <c r="G5" s="8"/>
      <c r="H5" s="8"/>
      <c r="I5" s="8"/>
      <c r="J5" s="8"/>
      <c r="K5" s="8"/>
      <c r="L5" s="8"/>
      <c r="M5" s="8"/>
      <c r="N5" s="8"/>
      <c r="O5" s="8"/>
      <c r="P5" s="9"/>
    </row>
    <row r="6" spans="1:16">
      <c r="A6" s="7"/>
      <c r="B6" s="8"/>
      <c r="C6" s="8"/>
      <c r="D6" s="8"/>
      <c r="E6" s="8"/>
      <c r="F6" s="8"/>
      <c r="G6" s="8"/>
      <c r="H6" s="8"/>
      <c r="J6" s="26" t="s">
        <v>176</v>
      </c>
      <c r="L6" s="26" t="s">
        <v>101</v>
      </c>
      <c r="M6" s="46" t="str">
        <f>IF(AND(M10="X",OR(M14="X",M17="X")),"X","")</f>
        <v/>
      </c>
      <c r="N6" s="26" t="s">
        <v>102</v>
      </c>
      <c r="O6" s="46" t="str">
        <f>IF(M6="X"," ","X")</f>
        <v>X</v>
      </c>
      <c r="P6" s="9"/>
    </row>
    <row r="7" spans="1:16" ht="6" customHeight="1">
      <c r="A7" s="7"/>
      <c r="B7" s="8"/>
      <c r="C7" s="8"/>
      <c r="D7" s="8"/>
      <c r="E7" s="8"/>
      <c r="F7" s="8"/>
      <c r="G7" s="8"/>
      <c r="H7" s="8"/>
      <c r="I7" s="8"/>
      <c r="J7" s="8"/>
      <c r="K7" s="8"/>
      <c r="L7" s="8"/>
      <c r="M7" s="8"/>
      <c r="N7" s="8"/>
      <c r="O7" s="8"/>
      <c r="P7" s="9"/>
    </row>
    <row r="8" spans="1:16">
      <c r="A8" s="7"/>
      <c r="B8" s="367" t="s">
        <v>103</v>
      </c>
      <c r="C8" s="367"/>
      <c r="D8" s="367" t="s">
        <v>104</v>
      </c>
      <c r="E8" s="367"/>
      <c r="F8" s="367"/>
      <c r="G8" s="367"/>
      <c r="H8" s="367"/>
      <c r="I8" s="367"/>
      <c r="J8" s="367"/>
      <c r="K8" s="367"/>
      <c r="L8" s="367" t="s">
        <v>89</v>
      </c>
      <c r="M8" s="367"/>
      <c r="N8" s="367"/>
      <c r="O8" s="367"/>
      <c r="P8" s="9"/>
    </row>
    <row r="9" spans="1:16" ht="6" customHeight="1">
      <c r="A9" s="7"/>
      <c r="B9" s="20"/>
      <c r="C9" s="53"/>
      <c r="D9" s="18"/>
      <c r="E9" s="18"/>
      <c r="F9" s="20"/>
      <c r="G9" s="21"/>
      <c r="H9" s="53"/>
      <c r="I9" s="20"/>
      <c r="J9" s="21"/>
      <c r="K9" s="53"/>
      <c r="L9" s="20"/>
      <c r="M9" s="21"/>
      <c r="N9" s="21"/>
      <c r="O9" s="53"/>
      <c r="P9" s="9"/>
    </row>
    <row r="10" spans="1:16">
      <c r="A10" s="7"/>
      <c r="B10" s="355" t="s">
        <v>105</v>
      </c>
      <c r="C10" s="357"/>
      <c r="D10" s="98" t="str">
        <f>IF('Input Sheet'!$F$13&gt;1,CONCATENATE("N  ",'Input Sheet'!$F$13,"  ft"),"N_______ft")</f>
        <v>N_______ft</v>
      </c>
      <c r="E10" s="98" t="str">
        <f>IF('Input Sheet'!$I$13&gt;1,CONCATENATE("S  ",'Input Sheet'!$I$13,"  ft"),"S_______ft")</f>
        <v>S_______ft</v>
      </c>
      <c r="F10" s="355" t="str">
        <f>IF('Input Sheet'!$F$20&gt;1,CONCATENATE("E  ",'Input Sheet'!$F$20,"  ft"),"E________ft")</f>
        <v>E________ft</v>
      </c>
      <c r="G10" s="356"/>
      <c r="H10" s="357"/>
      <c r="I10" s="355" t="str">
        <f>IF('Input Sheet'!$I$20&gt;1,CONCATENATE("W  ",'Input Sheet'!$I$20,"  ft"),"W_______ft")</f>
        <v>W_______ft</v>
      </c>
      <c r="J10" s="356"/>
      <c r="K10" s="357"/>
      <c r="L10" s="62" t="s">
        <v>87</v>
      </c>
      <c r="M10" s="46" t="str">
        <f>IF(Worksheet!$W$31&gt;Worksheet!$AA$31,IF(AND('Input Sheet'!$F$13&gt;=1000,'Input Sheet'!$I$13&gt;=1000),"X"," "),IF(AND('Input Sheet'!$F$20&gt;=1000,'Input Sheet'!$I$20&gt;=1000),"X"," "))</f>
        <v xml:space="preserve"> </v>
      </c>
      <c r="N10" s="15" t="s">
        <v>57</v>
      </c>
      <c r="O10" s="46" t="str">
        <f>IF(M10="X"," ","X")</f>
        <v>X</v>
      </c>
      <c r="P10" s="9"/>
    </row>
    <row r="11" spans="1:16" ht="6" customHeight="1">
      <c r="A11" s="7"/>
      <c r="B11" s="5"/>
      <c r="C11" s="6"/>
      <c r="D11" s="23"/>
      <c r="E11" s="23"/>
      <c r="F11" s="5"/>
      <c r="G11" s="1"/>
      <c r="H11" s="6"/>
      <c r="I11" s="5"/>
      <c r="J11" s="1"/>
      <c r="K11" s="6"/>
      <c r="L11" s="63"/>
      <c r="M11" s="64"/>
      <c r="N11" s="38"/>
      <c r="O11" s="65"/>
      <c r="P11" s="9"/>
    </row>
    <row r="12" spans="1:16" ht="12.75" customHeight="1">
      <c r="A12" s="7"/>
      <c r="B12" s="94" t="s">
        <v>185</v>
      </c>
      <c r="C12" s="33"/>
      <c r="D12" s="33"/>
      <c r="E12" s="33"/>
      <c r="F12" s="33"/>
      <c r="G12" s="33"/>
      <c r="H12" s="33"/>
      <c r="I12" s="33"/>
      <c r="J12" s="33"/>
      <c r="K12" s="34"/>
      <c r="L12" s="41"/>
      <c r="M12" s="33"/>
      <c r="N12" s="33"/>
      <c r="O12" s="34"/>
      <c r="P12" s="9"/>
    </row>
    <row r="13" spans="1:16" ht="12.75" customHeight="1">
      <c r="A13" s="7"/>
      <c r="B13" s="97" t="s">
        <v>186</v>
      </c>
      <c r="C13" s="8"/>
      <c r="D13" s="8"/>
      <c r="E13" s="8"/>
      <c r="F13" s="8"/>
      <c r="G13" s="8"/>
      <c r="H13" s="8"/>
      <c r="I13" s="8"/>
      <c r="J13" s="8"/>
      <c r="K13" s="35"/>
      <c r="L13" s="36"/>
      <c r="M13" s="8"/>
      <c r="N13" s="8"/>
      <c r="O13" s="35"/>
      <c r="P13" s="9"/>
    </row>
    <row r="14" spans="1:16" ht="12.75" customHeight="1">
      <c r="A14" s="7"/>
      <c r="B14" s="95" t="s">
        <v>187</v>
      </c>
      <c r="C14" s="2"/>
      <c r="D14" s="2"/>
      <c r="E14" s="2"/>
      <c r="F14" s="2"/>
      <c r="G14" s="2"/>
      <c r="H14" s="2"/>
      <c r="I14" s="2"/>
      <c r="J14" s="8"/>
      <c r="K14" s="39" t="s">
        <v>116</v>
      </c>
      <c r="L14" s="63" t="s">
        <v>87</v>
      </c>
      <c r="M14" s="46" t="str">
        <f>IF(Worksheet!$W$31&gt;Worksheet!$AA$31,IF(AND(M10="X",'Input Sheet'!$R$14="Yes"),"X"," "),IF(AND(M10="X",'Input Sheet'!$R$21="Yes"),"X"," "))</f>
        <v xml:space="preserve"> </v>
      </c>
      <c r="N14" s="38" t="s">
        <v>57</v>
      </c>
      <c r="O14" s="46" t="str">
        <f>IF(M14="X"," ","X")</f>
        <v>X</v>
      </c>
      <c r="P14" s="9"/>
    </row>
    <row r="15" spans="1:16" ht="13.15" customHeight="1">
      <c r="A15" s="7"/>
      <c r="B15" s="94" t="s">
        <v>188</v>
      </c>
      <c r="C15" s="33"/>
      <c r="D15" s="33"/>
      <c r="E15" s="33"/>
      <c r="F15" s="33"/>
      <c r="G15" s="33"/>
      <c r="H15" s="33"/>
      <c r="I15" s="33"/>
      <c r="J15" s="33"/>
      <c r="K15" s="34"/>
      <c r="L15" s="41"/>
      <c r="M15" s="33"/>
      <c r="N15" s="33"/>
      <c r="O15" s="34"/>
      <c r="P15" s="9"/>
    </row>
    <row r="16" spans="1:16" ht="13.15" customHeight="1">
      <c r="A16" s="7"/>
      <c r="B16" s="97" t="s">
        <v>190</v>
      </c>
      <c r="C16" s="8"/>
      <c r="D16" s="8"/>
      <c r="E16" s="8"/>
      <c r="F16" s="8"/>
      <c r="G16" s="8"/>
      <c r="H16" s="8"/>
      <c r="I16" s="8"/>
      <c r="J16" s="8"/>
      <c r="K16" s="35"/>
      <c r="L16" s="36"/>
      <c r="M16" s="8"/>
      <c r="N16" s="8"/>
      <c r="O16" s="35"/>
      <c r="P16" s="9"/>
    </row>
    <row r="17" spans="1:16" ht="13.15" customHeight="1">
      <c r="A17" s="7"/>
      <c r="B17" s="95" t="s">
        <v>189</v>
      </c>
      <c r="C17" s="2"/>
      <c r="D17" s="2"/>
      <c r="E17" s="2"/>
      <c r="F17" s="2"/>
      <c r="G17" s="2"/>
      <c r="H17" s="2"/>
      <c r="I17" s="2"/>
      <c r="J17" s="2"/>
      <c r="K17" s="42"/>
      <c r="L17" s="63" t="s">
        <v>87</v>
      </c>
      <c r="M17" s="46" t="str">
        <f>IF(Worksheet!$W$31&gt;Worksheet!$AA$31,IF(AND(M10="X",'Input Sheet'!$R$14="Yes"),"X"," "),IF(AND(M10="X",'Input Sheet'!$R$21="Yes"),"X"," "))</f>
        <v xml:space="preserve"> </v>
      </c>
      <c r="N17" s="38" t="s">
        <v>57</v>
      </c>
      <c r="O17" s="46" t="str">
        <f>IF(M17="X"," ","X")</f>
        <v>X</v>
      </c>
      <c r="P17" s="9"/>
    </row>
    <row r="18" spans="1:16" ht="9" customHeight="1">
      <c r="A18" s="7"/>
      <c r="B18" s="8"/>
      <c r="C18" s="8"/>
      <c r="D18" s="8"/>
      <c r="E18" s="8"/>
      <c r="F18" s="8"/>
      <c r="G18" s="8"/>
      <c r="H18" s="8"/>
      <c r="I18" s="8"/>
      <c r="J18" s="8"/>
      <c r="K18" s="8"/>
      <c r="L18" s="8"/>
      <c r="M18" s="8"/>
      <c r="N18" s="8"/>
      <c r="O18" s="8"/>
      <c r="P18" s="9"/>
    </row>
    <row r="19" spans="1:16" ht="21" customHeight="1">
      <c r="A19" s="7"/>
      <c r="B19" s="24" t="s">
        <v>106</v>
      </c>
      <c r="C19" s="8"/>
      <c r="D19" s="8"/>
      <c r="E19" s="8"/>
      <c r="F19" s="8"/>
      <c r="G19" s="8"/>
      <c r="H19" s="8"/>
      <c r="I19" s="8"/>
      <c r="J19" s="8"/>
      <c r="K19" s="8"/>
      <c r="L19" s="8"/>
      <c r="M19" s="8"/>
      <c r="N19" s="8"/>
      <c r="O19" s="8"/>
      <c r="P19" s="9"/>
    </row>
    <row r="20" spans="1:16">
      <c r="A20" s="7"/>
      <c r="B20" s="8"/>
      <c r="C20" s="8"/>
      <c r="D20" s="8"/>
      <c r="E20" s="8"/>
      <c r="F20" s="8"/>
      <c r="G20" s="8"/>
      <c r="H20" s="8"/>
      <c r="J20" s="26" t="s">
        <v>176</v>
      </c>
      <c r="L20" s="26" t="s">
        <v>101</v>
      </c>
      <c r="M20" s="46" t="str">
        <f>IF(AND(M23="X",M25="X",OR(M26="X",M27="X",M28="X")),"X","")</f>
        <v/>
      </c>
      <c r="N20" s="26" t="s">
        <v>102</v>
      </c>
      <c r="O20" s="46" t="str">
        <f>IF(M20="X"," ","X")</f>
        <v>X</v>
      </c>
      <c r="P20" s="9"/>
    </row>
    <row r="21" spans="1:16" ht="6" customHeight="1">
      <c r="A21" s="7"/>
      <c r="B21" s="8"/>
      <c r="C21" s="8"/>
      <c r="D21" s="8"/>
      <c r="E21" s="8"/>
      <c r="F21" s="8"/>
      <c r="G21" s="8"/>
      <c r="H21" s="8"/>
      <c r="I21" s="8"/>
      <c r="J21" s="8"/>
      <c r="K21" s="8"/>
      <c r="L21" s="8"/>
      <c r="M21" s="8"/>
      <c r="N21" s="8"/>
      <c r="O21" s="8"/>
      <c r="P21" s="9"/>
    </row>
    <row r="22" spans="1:16" ht="13.15" customHeight="1">
      <c r="A22" s="7"/>
      <c r="B22" s="94" t="s">
        <v>107</v>
      </c>
      <c r="C22" s="33"/>
      <c r="D22" s="33"/>
      <c r="E22" s="33"/>
      <c r="F22" s="33"/>
      <c r="G22" s="33"/>
      <c r="H22" s="33"/>
      <c r="I22" s="33"/>
      <c r="J22" s="33"/>
      <c r="K22" s="34"/>
      <c r="L22" s="368" t="s">
        <v>89</v>
      </c>
      <c r="M22" s="369"/>
      <c r="N22" s="369"/>
      <c r="O22" s="370"/>
      <c r="P22" s="9"/>
    </row>
    <row r="23" spans="1:16" ht="13.15" customHeight="1">
      <c r="A23" s="7"/>
      <c r="B23" s="95" t="s">
        <v>108</v>
      </c>
      <c r="C23" s="2"/>
      <c r="D23" s="2"/>
      <c r="E23" s="2"/>
      <c r="F23" s="2"/>
      <c r="G23" s="2"/>
      <c r="H23" s="2"/>
      <c r="I23" s="2"/>
      <c r="J23" s="2"/>
      <c r="K23" s="40" t="s">
        <v>96</v>
      </c>
      <c r="L23" s="63" t="s">
        <v>87</v>
      </c>
      <c r="M23" s="138"/>
      <c r="N23" s="38" t="s">
        <v>57</v>
      </c>
      <c r="O23" s="46" t="str">
        <f>IF(M23="X"," ","X")</f>
        <v>X</v>
      </c>
      <c r="P23" s="9"/>
    </row>
    <row r="24" spans="1:16" ht="13.15" customHeight="1">
      <c r="A24" s="7"/>
      <c r="B24" s="361" t="s">
        <v>109</v>
      </c>
      <c r="C24" s="362"/>
      <c r="D24" s="363" t="s">
        <v>110</v>
      </c>
      <c r="E24" s="365"/>
      <c r="F24" s="365"/>
      <c r="G24" s="365"/>
      <c r="H24" s="365"/>
      <c r="I24" s="365"/>
      <c r="J24" s="49"/>
      <c r="K24" s="50"/>
      <c r="L24" s="41"/>
      <c r="M24" s="33"/>
      <c r="N24" s="33"/>
      <c r="O24" s="34"/>
      <c r="P24" s="9"/>
    </row>
    <row r="25" spans="1:16" ht="13.15" customHeight="1">
      <c r="A25" s="7"/>
      <c r="B25" s="363" t="s">
        <v>177</v>
      </c>
      <c r="C25" s="364"/>
      <c r="D25" s="366"/>
      <c r="E25" s="366"/>
      <c r="F25" s="366"/>
      <c r="G25" s="366"/>
      <c r="H25" s="366"/>
      <c r="I25" s="366"/>
      <c r="J25" s="2"/>
      <c r="K25" s="40" t="s">
        <v>96</v>
      </c>
      <c r="L25" s="63" t="s">
        <v>87</v>
      </c>
      <c r="M25" s="138"/>
      <c r="N25" s="38" t="s">
        <v>57</v>
      </c>
      <c r="O25" s="46" t="str">
        <f>IF(M25="X"," ","X")</f>
        <v>X</v>
      </c>
      <c r="P25" s="9"/>
    </row>
    <row r="26" spans="1:16" ht="13.15" customHeight="1">
      <c r="A26" s="7"/>
      <c r="B26" s="94" t="s">
        <v>276</v>
      </c>
      <c r="C26" s="34"/>
      <c r="D26" s="85" t="s">
        <v>117</v>
      </c>
      <c r="E26" s="49"/>
      <c r="F26" s="49"/>
      <c r="G26" s="49"/>
      <c r="H26" s="49"/>
      <c r="I26" s="49"/>
      <c r="J26" s="49"/>
      <c r="K26" s="50"/>
      <c r="L26" s="66" t="s">
        <v>87</v>
      </c>
      <c r="M26" s="46" t="str">
        <f>IF('Pg 1'!L39="X","X"," ")</f>
        <v xml:space="preserve"> </v>
      </c>
      <c r="N26" s="67" t="s">
        <v>57</v>
      </c>
      <c r="O26" s="46" t="str">
        <f>IF(M26="X"," ","X")</f>
        <v>X</v>
      </c>
      <c r="P26" s="9"/>
    </row>
    <row r="27" spans="1:16" ht="13.15" customHeight="1">
      <c r="A27" s="7"/>
      <c r="B27" s="351" t="s">
        <v>111</v>
      </c>
      <c r="C27" s="352"/>
      <c r="D27" s="85" t="s">
        <v>118</v>
      </c>
      <c r="E27" s="49"/>
      <c r="F27" s="49"/>
      <c r="G27" s="49"/>
      <c r="H27" s="49"/>
      <c r="I27" s="49"/>
      <c r="J27" s="49"/>
      <c r="K27" s="50"/>
      <c r="L27" s="66" t="s">
        <v>87</v>
      </c>
      <c r="M27" s="46" t="str">
        <f>IF('Pg 1'!L46="X","X"," ")</f>
        <v xml:space="preserve"> </v>
      </c>
      <c r="N27" s="67" t="s">
        <v>57</v>
      </c>
      <c r="O27" s="46" t="str">
        <f>IF(M27="X"," ","X")</f>
        <v>X</v>
      </c>
      <c r="P27" s="9"/>
    </row>
    <row r="28" spans="1:16" ht="13.15" customHeight="1">
      <c r="A28" s="7"/>
      <c r="B28" s="353">
        <v>0.8</v>
      </c>
      <c r="C28" s="354"/>
      <c r="D28" s="85" t="s">
        <v>119</v>
      </c>
      <c r="E28" s="49"/>
      <c r="F28" s="49"/>
      <c r="G28" s="49"/>
      <c r="H28" s="49"/>
      <c r="I28" s="49"/>
      <c r="J28" s="49"/>
      <c r="K28" s="50"/>
      <c r="L28" s="66" t="s">
        <v>87</v>
      </c>
      <c r="M28" s="46" t="str">
        <f>IF(Worksheet!EH6="Yes",IF(OR(Worksheet!EN32="Yes",Worksheet!ET32="Yes"),"X"," "),IF(OR(Worksheet!EK32="Yes",Worksheet!EQ32="Yes"),"X"," "))</f>
        <v xml:space="preserve"> </v>
      </c>
      <c r="N28" s="67" t="s">
        <v>57</v>
      </c>
      <c r="O28" s="46" t="str">
        <f>IF(M28="X"," ","X")</f>
        <v>X</v>
      </c>
      <c r="P28" s="9"/>
    </row>
    <row r="29" spans="1:16" ht="9" customHeight="1">
      <c r="A29" s="7"/>
      <c r="B29" s="8"/>
      <c r="C29" s="8"/>
      <c r="D29" s="8"/>
      <c r="E29" s="8"/>
      <c r="F29" s="8"/>
      <c r="G29" s="8"/>
      <c r="H29" s="8"/>
      <c r="I29" s="8"/>
      <c r="J29" s="8"/>
      <c r="K29" s="8"/>
      <c r="L29" s="8"/>
      <c r="M29" s="8"/>
      <c r="N29" s="8"/>
      <c r="O29" s="8"/>
      <c r="P29" s="9"/>
    </row>
    <row r="30" spans="1:16" ht="21" customHeight="1">
      <c r="A30" s="7"/>
      <c r="B30" s="24" t="s">
        <v>112</v>
      </c>
      <c r="C30" s="8"/>
      <c r="D30" s="8"/>
      <c r="E30" s="8"/>
      <c r="F30" s="8"/>
      <c r="G30" s="8"/>
      <c r="H30" s="8"/>
      <c r="I30" s="8"/>
      <c r="J30" s="8"/>
      <c r="K30" s="8"/>
      <c r="L30" s="8"/>
      <c r="M30" s="8"/>
      <c r="N30" s="8"/>
      <c r="O30" s="8"/>
      <c r="P30" s="9"/>
    </row>
    <row r="31" spans="1:16">
      <c r="A31" s="7"/>
      <c r="B31" s="8"/>
      <c r="C31" s="8"/>
      <c r="D31" s="8"/>
      <c r="E31" s="8"/>
      <c r="F31" s="8"/>
      <c r="G31" s="8"/>
      <c r="H31" s="8"/>
      <c r="J31" s="26" t="s">
        <v>176</v>
      </c>
      <c r="L31" s="26" t="s">
        <v>101</v>
      </c>
      <c r="M31" s="46" t="str">
        <f>IF(AND(M54="X",OR(M36="X",M40="X")),"X"," ")</f>
        <v xml:space="preserve"> </v>
      </c>
      <c r="N31" s="26" t="s">
        <v>102</v>
      </c>
      <c r="O31" s="46" t="str">
        <f>IF(M31="X"," ","X")</f>
        <v>X</v>
      </c>
      <c r="P31" s="9"/>
    </row>
    <row r="32" spans="1:16" ht="6" customHeight="1">
      <c r="A32" s="7"/>
      <c r="B32" s="8"/>
      <c r="C32" s="8"/>
      <c r="D32" s="8"/>
      <c r="E32" s="8"/>
      <c r="F32" s="8"/>
      <c r="G32" s="8"/>
      <c r="H32" s="8"/>
      <c r="I32" s="8"/>
      <c r="J32" s="8"/>
      <c r="K32" s="8"/>
      <c r="L32" s="8"/>
      <c r="M32" s="8"/>
      <c r="N32" s="8"/>
      <c r="O32" s="8"/>
      <c r="P32" s="9"/>
    </row>
    <row r="33" spans="1:16" ht="15" customHeight="1">
      <c r="A33" s="7"/>
      <c r="B33" s="289" t="s">
        <v>103</v>
      </c>
      <c r="C33" s="347"/>
      <c r="D33" s="312"/>
      <c r="E33" s="33"/>
      <c r="F33" s="33"/>
      <c r="G33" s="33"/>
      <c r="H33" s="33"/>
      <c r="I33" s="33"/>
      <c r="J33" s="33"/>
      <c r="K33" s="33"/>
      <c r="L33" s="41"/>
      <c r="M33" s="33"/>
      <c r="N33" s="33"/>
      <c r="O33" s="34"/>
      <c r="P33" s="9"/>
    </row>
    <row r="34" spans="1:16" ht="15" customHeight="1">
      <c r="A34" s="7"/>
      <c r="B34" s="358" t="s">
        <v>113</v>
      </c>
      <c r="C34" s="359"/>
      <c r="D34" s="360"/>
      <c r="E34" s="8"/>
      <c r="F34" s="8"/>
      <c r="G34" s="8"/>
      <c r="H34" s="8"/>
      <c r="I34" s="8"/>
      <c r="J34" s="8"/>
      <c r="K34" s="8"/>
      <c r="L34" s="348" t="s">
        <v>89</v>
      </c>
      <c r="M34" s="349"/>
      <c r="N34" s="349"/>
      <c r="O34" s="350"/>
      <c r="P34" s="9"/>
    </row>
    <row r="35" spans="1:16" ht="12.75" customHeight="1">
      <c r="A35" s="7"/>
      <c r="B35" s="94" t="str">
        <f>CONCATENATE("A.  DURING TYPICAL WEEKDAY PEAK HOUR  ",LARGE(Worksheet!AC18:AC30,1),"  VEH/HOUR")</f>
        <v>A.  DURING TYPICAL WEEKDAY PEAK HOUR  0  VEH/HOUR</v>
      </c>
      <c r="C35" s="33"/>
      <c r="D35" s="33"/>
      <c r="E35" s="33"/>
      <c r="F35" s="33"/>
      <c r="G35" s="33"/>
      <c r="H35" s="33"/>
      <c r="I35" s="33"/>
      <c r="J35" s="33"/>
      <c r="K35" s="102" t="s">
        <v>96</v>
      </c>
      <c r="L35" s="36"/>
      <c r="M35" s="8"/>
      <c r="N35" s="8"/>
      <c r="O35" s="35"/>
      <c r="P35" s="9"/>
    </row>
    <row r="36" spans="1:16" ht="13.15" customHeight="1">
      <c r="A36" s="7"/>
      <c r="B36" s="97" t="s">
        <v>274</v>
      </c>
      <c r="C36" s="8"/>
      <c r="D36" s="8"/>
      <c r="E36" s="8"/>
      <c r="F36" s="8"/>
      <c r="G36" s="8"/>
      <c r="H36" s="8"/>
      <c r="I36" s="8"/>
      <c r="J36" s="8"/>
      <c r="K36" s="8"/>
      <c r="L36" s="62" t="s">
        <v>87</v>
      </c>
      <c r="M36" s="46" t="str">
        <f>IF(AND(LARGE(Worksheet!AC18:AC30,1)&gt;=1000,'Input Sheet'!H24="Yes"),"X"," ")</f>
        <v xml:space="preserve"> </v>
      </c>
      <c r="N36" s="15" t="s">
        <v>57</v>
      </c>
      <c r="O36" s="46" t="str">
        <f>IF(M36="X"," ","X")</f>
        <v>X</v>
      </c>
      <c r="P36" s="9"/>
    </row>
    <row r="37" spans="1:16" ht="13.15" customHeight="1">
      <c r="A37" s="7"/>
      <c r="B37" s="97" t="s">
        <v>275</v>
      </c>
      <c r="C37" s="8"/>
      <c r="D37" s="8"/>
      <c r="E37" s="8"/>
      <c r="F37" s="8"/>
      <c r="G37" s="8"/>
      <c r="H37" s="8"/>
      <c r="I37" s="8"/>
      <c r="J37" s="8"/>
      <c r="K37" s="26" t="s">
        <v>116</v>
      </c>
      <c r="L37" s="36"/>
      <c r="M37" s="8"/>
      <c r="N37" s="8"/>
      <c r="O37" s="35"/>
      <c r="P37" s="9"/>
    </row>
    <row r="38" spans="1:16" ht="9" customHeight="1">
      <c r="A38" s="7"/>
      <c r="B38" s="97"/>
      <c r="C38" s="8"/>
      <c r="D38" s="8"/>
      <c r="E38" s="8"/>
      <c r="F38" s="8"/>
      <c r="G38" s="8"/>
      <c r="H38" s="8"/>
      <c r="I38" s="8"/>
      <c r="J38" s="8"/>
      <c r="K38" s="26"/>
      <c r="L38" s="36"/>
      <c r="M38" s="8"/>
      <c r="N38" s="8"/>
      <c r="O38" s="35"/>
      <c r="P38" s="9"/>
    </row>
    <row r="39" spans="1:16" ht="9" customHeight="1">
      <c r="A39" s="7"/>
      <c r="B39" s="41"/>
      <c r="C39" s="33"/>
      <c r="D39" s="33"/>
      <c r="E39" s="33"/>
      <c r="F39" s="33"/>
      <c r="G39" s="33"/>
      <c r="H39" s="33"/>
      <c r="I39" s="33"/>
      <c r="J39" s="33"/>
      <c r="K39" s="33"/>
      <c r="L39" s="41"/>
      <c r="M39" s="33"/>
      <c r="N39" s="33"/>
      <c r="O39" s="34"/>
      <c r="P39" s="9"/>
    </row>
    <row r="40" spans="1:16" ht="13.15" customHeight="1">
      <c r="A40" s="7"/>
      <c r="B40" s="97" t="s">
        <v>273</v>
      </c>
      <c r="C40" s="8"/>
      <c r="D40" s="8"/>
      <c r="E40" s="8"/>
      <c r="F40" s="8"/>
      <c r="G40" s="8"/>
      <c r="H40" s="8"/>
      <c r="I40" s="8"/>
      <c r="J40" s="8"/>
      <c r="K40" s="8"/>
      <c r="L40" s="62" t="s">
        <v>87</v>
      </c>
      <c r="M40" s="46" t="str">
        <f>IF('Input Sheet'!N26="Yes","X"," ")</f>
        <v xml:space="preserve"> </v>
      </c>
      <c r="N40" s="15" t="s">
        <v>57</v>
      </c>
      <c r="O40" s="46" t="str">
        <f>IF(M40="X"," ","X")</f>
        <v>X</v>
      </c>
      <c r="P40" s="9"/>
    </row>
    <row r="41" spans="1:16" ht="9" customHeight="1">
      <c r="A41" s="7"/>
      <c r="B41" s="37"/>
      <c r="C41" s="2"/>
      <c r="D41" s="2"/>
      <c r="E41" s="2"/>
      <c r="F41" s="2"/>
      <c r="G41" s="2"/>
      <c r="H41" s="2"/>
      <c r="I41" s="2"/>
      <c r="J41" s="2"/>
      <c r="K41" s="2"/>
      <c r="L41" s="63"/>
      <c r="M41" s="64"/>
      <c r="N41" s="38"/>
      <c r="O41" s="65"/>
      <c r="P41" s="9"/>
    </row>
    <row r="42" spans="1:16" ht="18" customHeight="1">
      <c r="A42" s="7"/>
      <c r="B42" s="48" t="s">
        <v>191</v>
      </c>
      <c r="C42" s="49"/>
      <c r="D42" s="49"/>
      <c r="E42" s="49"/>
      <c r="F42" s="50"/>
      <c r="G42" s="48"/>
      <c r="H42" s="56" t="s">
        <v>114</v>
      </c>
      <c r="I42" s="50"/>
      <c r="J42" s="48"/>
      <c r="K42" s="56" t="s">
        <v>115</v>
      </c>
      <c r="L42" s="50"/>
      <c r="M42" s="49"/>
      <c r="N42" s="49"/>
      <c r="O42" s="50"/>
      <c r="P42" s="9"/>
    </row>
    <row r="43" spans="1:16" ht="9" customHeight="1">
      <c r="A43" s="7"/>
      <c r="B43" s="36"/>
      <c r="C43" s="8"/>
      <c r="D43" s="8"/>
      <c r="E43" s="8"/>
      <c r="F43" s="35"/>
      <c r="G43" s="36"/>
      <c r="H43" s="3"/>
      <c r="I43" s="35"/>
      <c r="J43" s="36"/>
      <c r="K43" s="3"/>
      <c r="L43" s="35"/>
      <c r="M43" s="8"/>
      <c r="N43" s="8"/>
      <c r="O43" s="35"/>
      <c r="P43" s="9"/>
    </row>
    <row r="44" spans="1:16" ht="13.15" customHeight="1">
      <c r="A44" s="7"/>
      <c r="B44" s="97" t="s">
        <v>180</v>
      </c>
      <c r="C44" s="8"/>
      <c r="D44" s="8"/>
      <c r="E44" s="8"/>
      <c r="F44" s="35"/>
      <c r="G44" s="36"/>
      <c r="H44" s="8"/>
      <c r="I44" s="35"/>
      <c r="J44" s="36"/>
      <c r="K44" s="8"/>
      <c r="L44" s="35"/>
      <c r="M44" s="8"/>
      <c r="N44" s="8"/>
      <c r="O44" s="35"/>
      <c r="P44" s="9"/>
    </row>
    <row r="45" spans="1:16" ht="13.15" customHeight="1">
      <c r="A45" s="7"/>
      <c r="B45" s="97" t="s">
        <v>179</v>
      </c>
      <c r="C45" s="8"/>
      <c r="D45" s="8"/>
      <c r="E45" s="8"/>
      <c r="F45" s="35"/>
      <c r="G45" s="36"/>
      <c r="H45" s="46" t="str">
        <f>IF(Worksheet!$W$31&gt;Worksheet!$AA$31,IF('Input Sheet'!$Q$10="Yes","X"," "),IF('Input Sheet'!$Q$17="Yes","X"," "))</f>
        <v xml:space="preserve"> </v>
      </c>
      <c r="I45" s="35"/>
      <c r="J45" s="36"/>
      <c r="K45" s="46" t="str">
        <f>IF(Worksheet!$W$31&gt;Worksheet!$AA$31,IF('Input Sheet'!$Q$17="Yes","X"," "),IF('Input Sheet'!$Q$10="Yes","X"," "))</f>
        <v xml:space="preserve"> </v>
      </c>
      <c r="L45" s="35"/>
      <c r="M45" s="8"/>
      <c r="N45" s="8"/>
      <c r="O45" s="35"/>
      <c r="P45" s="9"/>
    </row>
    <row r="46" spans="1:16">
      <c r="A46" s="7"/>
      <c r="B46" s="36"/>
      <c r="C46" s="8"/>
      <c r="D46" s="8"/>
      <c r="E46" s="15"/>
      <c r="F46" s="78" t="s">
        <v>178</v>
      </c>
      <c r="G46" s="36"/>
      <c r="H46" s="8"/>
      <c r="I46" s="35"/>
      <c r="J46" s="36"/>
      <c r="K46" s="8"/>
      <c r="L46" s="35"/>
      <c r="M46" s="8"/>
      <c r="N46" s="8"/>
      <c r="O46" s="35"/>
      <c r="P46" s="9"/>
    </row>
    <row r="47" spans="1:16" ht="13.15" customHeight="1">
      <c r="A47" s="7"/>
      <c r="B47" s="97" t="s">
        <v>181</v>
      </c>
      <c r="C47" s="8"/>
      <c r="D47" s="8"/>
      <c r="E47" s="8"/>
      <c r="F47" s="35"/>
      <c r="G47" s="36"/>
      <c r="H47" s="8"/>
      <c r="I47" s="35"/>
      <c r="J47" s="36"/>
      <c r="K47" s="8"/>
      <c r="L47" s="35"/>
      <c r="M47" s="8"/>
      <c r="N47" s="8"/>
      <c r="O47" s="35"/>
      <c r="P47" s="9"/>
    </row>
    <row r="48" spans="1:16" ht="13.15" customHeight="1">
      <c r="A48" s="7"/>
      <c r="B48" s="97" t="s">
        <v>182</v>
      </c>
      <c r="C48" s="8"/>
      <c r="D48" s="8"/>
      <c r="E48" s="8"/>
      <c r="F48" s="35"/>
      <c r="G48" s="36"/>
      <c r="H48" s="46" t="str">
        <f>IF(Worksheet!$W$31&gt;Worksheet!$AA$31,IF('Input Sheet'!$M$11="Yes","X"," "),IF('Input Sheet'!$M$18="Yes","X"," "))</f>
        <v xml:space="preserve"> </v>
      </c>
      <c r="I48" s="35"/>
      <c r="J48" s="36"/>
      <c r="K48" s="108" t="str">
        <f>IF(Worksheet!$W$31&gt;Worksheet!$AA$31,IF('Input Sheet'!$M$18="Yes","X"," "),IF('Input Sheet'!$M$11="Yes","X"," "))</f>
        <v xml:space="preserve"> </v>
      </c>
      <c r="L48" s="35"/>
      <c r="M48" s="8"/>
      <c r="N48" s="8"/>
      <c r="O48" s="35"/>
      <c r="P48" s="9"/>
    </row>
    <row r="49" spans="1:16">
      <c r="A49" s="7"/>
      <c r="B49" s="36"/>
      <c r="C49" s="8"/>
      <c r="D49" s="8"/>
      <c r="E49" s="8"/>
      <c r="F49" s="78" t="s">
        <v>178</v>
      </c>
      <c r="G49" s="36"/>
      <c r="H49" s="99"/>
      <c r="I49" s="35"/>
      <c r="J49" s="36"/>
      <c r="K49" s="99"/>
      <c r="L49" s="35"/>
      <c r="M49" s="8"/>
      <c r="N49" s="8"/>
      <c r="O49" s="35"/>
      <c r="P49" s="9"/>
    </row>
    <row r="50" spans="1:16" ht="13.15" customHeight="1">
      <c r="A50" s="7"/>
      <c r="B50" s="97" t="s">
        <v>183</v>
      </c>
      <c r="C50" s="8"/>
      <c r="D50" s="8"/>
      <c r="E50" s="8"/>
      <c r="F50" s="35"/>
      <c r="G50" s="36"/>
      <c r="H50" s="8"/>
      <c r="I50" s="35"/>
      <c r="J50" s="36"/>
      <c r="K50" s="8"/>
      <c r="L50" s="35"/>
      <c r="M50" s="8"/>
      <c r="N50" s="8"/>
      <c r="O50" s="35"/>
      <c r="P50" s="9"/>
    </row>
    <row r="51" spans="1:16" ht="13.15" customHeight="1">
      <c r="A51" s="7"/>
      <c r="B51" s="97" t="s">
        <v>184</v>
      </c>
      <c r="C51" s="8"/>
      <c r="D51" s="8"/>
      <c r="E51" s="8"/>
      <c r="F51" s="35"/>
      <c r="G51" s="36"/>
      <c r="H51" s="46" t="str">
        <f>IF(Worksheet!$W$31&gt;Worksheet!$AA$31,IF('Input Sheet'!$J$12="Yes","X"," "),IF('Input Sheet'!$J$19="Yes","X"," "))</f>
        <v xml:space="preserve"> </v>
      </c>
      <c r="I51" s="35"/>
      <c r="J51" s="36"/>
      <c r="K51" s="46" t="str">
        <f>IF(Worksheet!$W$31&gt;Worksheet!$AA$31,IF('Input Sheet'!$J$19="Yes","X"," "),IF('Input Sheet'!$J$12="Yes","X"," "))</f>
        <v xml:space="preserve"> </v>
      </c>
      <c r="L51" s="35"/>
      <c r="M51" s="8"/>
      <c r="N51" s="8"/>
      <c r="O51" s="35"/>
      <c r="P51" s="9"/>
    </row>
    <row r="52" spans="1:16" ht="9" customHeight="1">
      <c r="A52" s="7"/>
      <c r="B52" s="95"/>
      <c r="C52" s="2"/>
      <c r="D52" s="2"/>
      <c r="E52" s="2"/>
      <c r="F52" s="42"/>
      <c r="G52" s="37"/>
      <c r="H52" s="101"/>
      <c r="I52" s="42"/>
      <c r="J52" s="37"/>
      <c r="K52" s="101"/>
      <c r="L52" s="42"/>
      <c r="M52" s="8"/>
      <c r="N52" s="8"/>
      <c r="O52" s="35"/>
      <c r="P52" s="9"/>
    </row>
    <row r="53" spans="1:16" ht="9" customHeight="1">
      <c r="A53" s="7"/>
      <c r="B53" s="36"/>
      <c r="C53" s="8"/>
      <c r="D53" s="8"/>
      <c r="E53" s="8"/>
      <c r="F53" s="8"/>
      <c r="G53" s="57"/>
      <c r="H53" s="8"/>
      <c r="I53" s="8"/>
      <c r="J53" s="57"/>
      <c r="K53" s="8"/>
      <c r="L53" s="8"/>
      <c r="M53" s="8"/>
      <c r="N53" s="8"/>
      <c r="O53" s="35"/>
      <c r="P53" s="9"/>
    </row>
    <row r="54" spans="1:16" ht="13.15" customHeight="1">
      <c r="A54" s="7"/>
      <c r="B54" s="37"/>
      <c r="C54" s="2"/>
      <c r="D54" s="2"/>
      <c r="E54" s="2"/>
      <c r="F54" s="2"/>
      <c r="G54" s="2"/>
      <c r="H54" s="2"/>
      <c r="I54" s="2"/>
      <c r="J54" s="2"/>
      <c r="K54" s="100" t="s">
        <v>192</v>
      </c>
      <c r="L54" s="38" t="s">
        <v>87</v>
      </c>
      <c r="M54" s="46" t="str">
        <f>IF(OR(AND(H45="X",K45="X"),AND(H48="X",K48="X"),AND(H51="X",K51="X")),"X","")</f>
        <v/>
      </c>
      <c r="N54" s="38" t="s">
        <v>57</v>
      </c>
      <c r="O54" s="46" t="str">
        <f>IF(M54="X"," ","X")</f>
        <v>X</v>
      </c>
      <c r="P54" s="9"/>
    </row>
    <row r="55" spans="1:16" ht="9" customHeight="1">
      <c r="A55" s="7"/>
      <c r="B55" s="8"/>
      <c r="C55" s="8"/>
      <c r="D55" s="8"/>
      <c r="E55" s="8"/>
      <c r="F55" s="8"/>
      <c r="G55" s="8"/>
      <c r="H55" s="8"/>
      <c r="I55" s="8"/>
      <c r="J55" s="8"/>
      <c r="K55" s="124"/>
      <c r="L55" s="15"/>
      <c r="M55" s="99"/>
      <c r="N55" s="15"/>
      <c r="O55" s="99"/>
      <c r="P55" s="9"/>
    </row>
    <row r="56" spans="1:16" ht="21" customHeight="1">
      <c r="A56" s="7"/>
      <c r="B56" s="24" t="s">
        <v>299</v>
      </c>
      <c r="C56" s="8"/>
      <c r="D56" s="8"/>
      <c r="E56" s="8"/>
      <c r="F56" s="8"/>
      <c r="G56" s="8"/>
      <c r="H56" s="8"/>
      <c r="I56" s="8"/>
      <c r="J56" s="8"/>
      <c r="K56" s="8"/>
      <c r="L56" s="8"/>
      <c r="M56" s="8"/>
      <c r="N56" s="8"/>
      <c r="O56" s="8"/>
      <c r="P56" s="9"/>
    </row>
    <row r="57" spans="1:16" ht="13.15" customHeight="1">
      <c r="A57" s="7"/>
      <c r="B57" s="24"/>
      <c r="C57" s="8"/>
      <c r="D57" s="8"/>
      <c r="E57" s="8"/>
      <c r="F57" s="8"/>
      <c r="G57" s="8"/>
      <c r="H57" s="8"/>
      <c r="I57" s="8"/>
      <c r="J57" s="8"/>
      <c r="K57" s="8"/>
      <c r="L57" s="26" t="s">
        <v>94</v>
      </c>
      <c r="M57" s="46" t="str">
        <f>IF(M59="X","","X")</f>
        <v>X</v>
      </c>
      <c r="P57" s="9"/>
    </row>
    <row r="58" spans="1:16" ht="12" customHeight="1">
      <c r="A58" s="7"/>
      <c r="B58" s="24"/>
      <c r="C58" s="8"/>
      <c r="D58" s="8"/>
      <c r="E58" s="8"/>
      <c r="F58" s="8"/>
      <c r="G58" s="8"/>
      <c r="H58" s="8"/>
      <c r="I58" s="8"/>
      <c r="J58" s="8"/>
      <c r="K58" s="8"/>
      <c r="L58" s="8"/>
      <c r="M58" s="8"/>
      <c r="N58" s="8"/>
      <c r="O58" s="26"/>
      <c r="P58" s="9"/>
    </row>
    <row r="59" spans="1:16" ht="13.15" customHeight="1">
      <c r="A59" s="7"/>
      <c r="B59" s="8"/>
      <c r="C59" s="8"/>
      <c r="D59" s="8"/>
      <c r="E59" s="8"/>
      <c r="F59" s="8"/>
      <c r="G59" s="8"/>
      <c r="H59" s="8"/>
      <c r="I59" s="8"/>
      <c r="J59" s="8"/>
      <c r="K59" s="8"/>
      <c r="L59" s="26" t="s">
        <v>366</v>
      </c>
      <c r="M59" s="46" t="str">
        <f>IF('Input Sheet'!$O$30="Yes","X"," ")</f>
        <v xml:space="preserve"> </v>
      </c>
      <c r="P59" s="9"/>
    </row>
    <row r="60" spans="1:16" ht="9" customHeight="1" thickBot="1">
      <c r="A60" s="27" t="s">
        <v>48</v>
      </c>
      <c r="B60" s="10"/>
      <c r="C60" s="10"/>
      <c r="D60" s="10"/>
      <c r="E60" s="10"/>
      <c r="F60" s="10"/>
      <c r="G60" s="10"/>
      <c r="H60" s="10"/>
      <c r="I60" s="10"/>
      <c r="J60" s="10"/>
      <c r="K60" s="10"/>
      <c r="L60" s="10"/>
      <c r="M60" s="10"/>
      <c r="N60" s="10"/>
      <c r="O60" s="10"/>
      <c r="P60" s="11"/>
    </row>
  </sheetData>
  <sheetProtection algorithmName="SHA-512" hashValue="tOpleu1TpXwT7AmKQOc5nlgAGSeUWpZY4Lf3/S6msexznxgGFdmPCXbdJQQwfKL/vtRDkChWwxFjO3k+kecaKg==" saltValue="EP4sNSbDdE9I7PME2k8GSw==" spinCount="100000" sheet="1" objects="1" scenarios="1" selectLockedCells="1"/>
  <protectedRanges>
    <protectedRange sqref="D25:I25 M23 M25 M14" name="Range1"/>
  </protectedRanges>
  <mergeCells count="18">
    <mergeCell ref="B2:O2"/>
    <mergeCell ref="B3:O3"/>
    <mergeCell ref="B24:C24"/>
    <mergeCell ref="B25:C25"/>
    <mergeCell ref="D24:I24"/>
    <mergeCell ref="D25:I25"/>
    <mergeCell ref="L8:O8"/>
    <mergeCell ref="L22:O22"/>
    <mergeCell ref="D8:K8"/>
    <mergeCell ref="B8:C8"/>
    <mergeCell ref="L34:O34"/>
    <mergeCell ref="B27:C27"/>
    <mergeCell ref="B28:C28"/>
    <mergeCell ref="F10:H10"/>
    <mergeCell ref="I10:K10"/>
    <mergeCell ref="B33:D33"/>
    <mergeCell ref="B34:D34"/>
    <mergeCell ref="B10:C10"/>
  </mergeCells>
  <phoneticPr fontId="7" type="noConversion"/>
  <dataValidations count="2">
    <dataValidation type="list" allowBlank="1" showInputMessage="1" showErrorMessage="1" prompt="Select &quot;X&quot; if there have been 5 or more correctable crashes in a 12 month period." sqref="M25">
      <formula1>"X"</formula1>
    </dataValidation>
    <dataValidation type="list" allowBlank="1" showInputMessage="1" showErrorMessage="1" prompt="Select &quot;X&quot; if alternative measures have been tried without a satisfactory reduction in crashes." sqref="M23">
      <formula1>"X"</formula1>
    </dataValidation>
  </dataValidations>
  <printOptions horizontalCentered="1" verticalCentered="1"/>
  <pageMargins left="0.5" right="0.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42"/>
  <sheetViews>
    <sheetView zoomScaleNormal="100" workbookViewId="0">
      <selection activeCell="B3" sqref="B3"/>
    </sheetView>
  </sheetViews>
  <sheetFormatPr defaultRowHeight="12.75"/>
  <cols>
    <col min="1" max="1" width="1.7109375" style="259" customWidth="1"/>
    <col min="2" max="2" width="14" bestFit="1" customWidth="1"/>
    <col min="3" max="3" width="9.85546875" style="61" customWidth="1"/>
    <col min="4" max="6" width="9.85546875" customWidth="1"/>
    <col min="7" max="7" width="15.28515625" customWidth="1"/>
    <col min="8" max="8" width="5.7109375" customWidth="1"/>
    <col min="9" max="9" width="1.7109375" customWidth="1"/>
  </cols>
  <sheetData>
    <row r="1" spans="1:9" s="259" customFormat="1" ht="6" customHeight="1">
      <c r="A1" s="12"/>
      <c r="B1" s="13"/>
      <c r="C1" s="274"/>
      <c r="D1" s="13"/>
      <c r="E1" s="13"/>
      <c r="F1" s="13"/>
      <c r="G1" s="13"/>
      <c r="H1" s="13"/>
      <c r="I1" s="14"/>
    </row>
    <row r="2" spans="1:9" ht="30" customHeight="1">
      <c r="A2" s="7"/>
      <c r="B2" s="275" t="str">
        <f>'Input Sheet'!B1</f>
        <v>Form TR-01, Revised 3/10/15</v>
      </c>
      <c r="C2" s="256"/>
      <c r="D2" s="8"/>
      <c r="E2" s="8"/>
      <c r="F2" s="8"/>
      <c r="G2" s="8"/>
      <c r="H2" s="177" t="s">
        <v>303</v>
      </c>
      <c r="I2" s="9"/>
    </row>
    <row r="3" spans="1:9" ht="7.5" customHeight="1">
      <c r="A3" s="7"/>
      <c r="B3" s="276"/>
      <c r="C3" s="256"/>
      <c r="D3" s="8"/>
      <c r="E3" s="8"/>
      <c r="F3" s="8"/>
      <c r="G3" s="8"/>
      <c r="H3" s="177"/>
      <c r="I3" s="9"/>
    </row>
    <row r="4" spans="1:9" ht="15.75">
      <c r="A4" s="7"/>
      <c r="B4" s="299" t="s">
        <v>120</v>
      </c>
      <c r="C4" s="299"/>
      <c r="D4" s="299"/>
      <c r="E4" s="299"/>
      <c r="F4" s="299"/>
      <c r="G4" s="299"/>
      <c r="H4" s="299"/>
      <c r="I4" s="255"/>
    </row>
    <row r="5" spans="1:9" ht="15.75">
      <c r="A5" s="7"/>
      <c r="B5" s="254"/>
      <c r="C5" s="254"/>
      <c r="D5" s="254"/>
      <c r="E5" s="254"/>
      <c r="F5" s="254"/>
      <c r="G5" s="254"/>
      <c r="H5" s="254"/>
      <c r="I5" s="255"/>
    </row>
    <row r="6" spans="1:9" ht="18" customHeight="1">
      <c r="A6" s="7"/>
      <c r="B6" s="302"/>
      <c r="C6" s="371" t="s">
        <v>121</v>
      </c>
      <c r="D6" s="372"/>
      <c r="E6" s="371" t="s">
        <v>122</v>
      </c>
      <c r="F6" s="372"/>
      <c r="G6" s="371" t="s">
        <v>123</v>
      </c>
      <c r="H6" s="372"/>
      <c r="I6" s="277"/>
    </row>
    <row r="7" spans="1:9" ht="18" customHeight="1">
      <c r="A7" s="7"/>
      <c r="B7" s="302"/>
      <c r="C7" s="320" t="s">
        <v>124</v>
      </c>
      <c r="D7" s="319"/>
      <c r="E7" s="320" t="s">
        <v>125</v>
      </c>
      <c r="F7" s="319"/>
      <c r="G7" s="373" t="s">
        <v>49</v>
      </c>
      <c r="H7" s="374"/>
      <c r="I7" s="277"/>
    </row>
    <row r="8" spans="1:9" ht="18" customHeight="1">
      <c r="A8" s="7"/>
      <c r="B8" s="47" t="str">
        <f>'Input Sheet'!B36</f>
        <v>6:00-7:00 am</v>
      </c>
      <c r="C8" s="343" t="str">
        <f>IF(Worksheet!AE18=0," ",Worksheet!AE18)</f>
        <v xml:space="preserve"> </v>
      </c>
      <c r="D8" s="344"/>
      <c r="E8" s="343" t="str">
        <f>IF(Worksheet!AF18=0," ",Worksheet!AF18)</f>
        <v xml:space="preserve"> </v>
      </c>
      <c r="F8" s="344"/>
      <c r="G8" s="343" t="str">
        <f>IF(Worksheet!AC18=0," ",Worksheet!EH18)</f>
        <v xml:space="preserve"> </v>
      </c>
      <c r="H8" s="344"/>
      <c r="I8" s="9"/>
    </row>
    <row r="9" spans="1:9" ht="18" customHeight="1">
      <c r="A9" s="7"/>
      <c r="B9" s="47" t="str">
        <f>'Input Sheet'!B37</f>
        <v>7:00-8:00 am</v>
      </c>
      <c r="C9" s="343" t="str">
        <f>IF(Worksheet!AE19=0," ",Worksheet!AE19)</f>
        <v xml:space="preserve"> </v>
      </c>
      <c r="D9" s="344"/>
      <c r="E9" s="343" t="str">
        <f>IF(Worksheet!AF19=0," ",Worksheet!AF19)</f>
        <v xml:space="preserve"> </v>
      </c>
      <c r="F9" s="344"/>
      <c r="G9" s="343" t="str">
        <f>IF(Worksheet!AC19=0," ",Worksheet!EH19)</f>
        <v xml:space="preserve"> </v>
      </c>
      <c r="H9" s="344"/>
      <c r="I9" s="9"/>
    </row>
    <row r="10" spans="1:9" ht="18" customHeight="1">
      <c r="A10" s="7"/>
      <c r="B10" s="47" t="str">
        <f>'Input Sheet'!B38</f>
        <v>8:00-9:00 am</v>
      </c>
      <c r="C10" s="343" t="str">
        <f>IF(Worksheet!AE20=0," ",Worksheet!AE20)</f>
        <v xml:space="preserve"> </v>
      </c>
      <c r="D10" s="344"/>
      <c r="E10" s="343" t="str">
        <f>IF(Worksheet!AF20=0," ",Worksheet!AF20)</f>
        <v xml:space="preserve"> </v>
      </c>
      <c r="F10" s="344"/>
      <c r="G10" s="343" t="str">
        <f>IF(Worksheet!AC20=0," ",Worksheet!EH20)</f>
        <v xml:space="preserve"> </v>
      </c>
      <c r="H10" s="344"/>
      <c r="I10" s="9"/>
    </row>
    <row r="11" spans="1:9" ht="18" customHeight="1">
      <c r="A11" s="7"/>
      <c r="B11" s="47" t="str">
        <f>'Input Sheet'!B39</f>
        <v>9:00-10:00 am</v>
      </c>
      <c r="C11" s="343" t="str">
        <f>IF(Worksheet!AE21=0," ",Worksheet!AE21)</f>
        <v xml:space="preserve"> </v>
      </c>
      <c r="D11" s="344"/>
      <c r="E11" s="343" t="str">
        <f>IF(Worksheet!AF21=0," ",Worksheet!AF21)</f>
        <v xml:space="preserve"> </v>
      </c>
      <c r="F11" s="344"/>
      <c r="G11" s="343" t="str">
        <f>IF(Worksheet!AC21=0," ",Worksheet!EH21)</f>
        <v xml:space="preserve"> </v>
      </c>
      <c r="H11" s="344"/>
      <c r="I11" s="9"/>
    </row>
    <row r="12" spans="1:9" ht="18" customHeight="1">
      <c r="A12" s="7"/>
      <c r="B12" s="47" t="str">
        <f>'Input Sheet'!B40</f>
        <v>10:00-11:00 am</v>
      </c>
      <c r="C12" s="343" t="str">
        <f>IF(Worksheet!AE22=0," ",Worksheet!AE22)</f>
        <v xml:space="preserve"> </v>
      </c>
      <c r="D12" s="344"/>
      <c r="E12" s="343" t="str">
        <f>IF(Worksheet!AF22=0," ",Worksheet!AF22)</f>
        <v xml:space="preserve"> </v>
      </c>
      <c r="F12" s="344"/>
      <c r="G12" s="343" t="str">
        <f>IF(Worksheet!AC22=0," ",Worksheet!EH22)</f>
        <v xml:space="preserve"> </v>
      </c>
      <c r="H12" s="344"/>
      <c r="I12" s="9"/>
    </row>
    <row r="13" spans="1:9" ht="18" customHeight="1">
      <c r="A13" s="7"/>
      <c r="B13" s="47" t="str">
        <f>'Input Sheet'!B41</f>
        <v>11:00-12:00 n</v>
      </c>
      <c r="C13" s="343" t="str">
        <f>IF(Worksheet!AE23=0," ",Worksheet!AE23)</f>
        <v xml:space="preserve"> </v>
      </c>
      <c r="D13" s="344"/>
      <c r="E13" s="343" t="str">
        <f>IF(Worksheet!AF23=0," ",Worksheet!AF23)</f>
        <v xml:space="preserve"> </v>
      </c>
      <c r="F13" s="344"/>
      <c r="G13" s="343" t="str">
        <f>IF(Worksheet!AC23=0," ",Worksheet!EH23)</f>
        <v xml:space="preserve"> </v>
      </c>
      <c r="H13" s="344"/>
      <c r="I13" s="9"/>
    </row>
    <row r="14" spans="1:9" ht="18" customHeight="1">
      <c r="A14" s="7"/>
      <c r="B14" s="47" t="str">
        <f>'Input Sheet'!B42</f>
        <v>12:00-1:00 pm</v>
      </c>
      <c r="C14" s="343" t="str">
        <f>IF(Worksheet!AE24=0," ",Worksheet!AE24)</f>
        <v xml:space="preserve"> </v>
      </c>
      <c r="D14" s="344"/>
      <c r="E14" s="343" t="str">
        <f>IF(Worksheet!AF24=0," ",Worksheet!AF24)</f>
        <v xml:space="preserve"> </v>
      </c>
      <c r="F14" s="344"/>
      <c r="G14" s="343" t="str">
        <f>IF(Worksheet!AC24=0," ",Worksheet!EH24)</f>
        <v xml:space="preserve"> </v>
      </c>
      <c r="H14" s="344"/>
      <c r="I14" s="9"/>
    </row>
    <row r="15" spans="1:9" ht="18" customHeight="1">
      <c r="A15" s="7"/>
      <c r="B15" s="47" t="str">
        <f>'Input Sheet'!B43</f>
        <v>1:00-2:00 pm</v>
      </c>
      <c r="C15" s="343" t="str">
        <f>IF(Worksheet!AE25=0," ",Worksheet!AE25)</f>
        <v xml:space="preserve"> </v>
      </c>
      <c r="D15" s="344"/>
      <c r="E15" s="343" t="str">
        <f>IF(Worksheet!AF25=0," ",Worksheet!AF25)</f>
        <v xml:space="preserve"> </v>
      </c>
      <c r="F15" s="344"/>
      <c r="G15" s="343" t="str">
        <f>IF(Worksheet!AC25=0," ",Worksheet!EH25)</f>
        <v xml:space="preserve"> </v>
      </c>
      <c r="H15" s="344"/>
      <c r="I15" s="9"/>
    </row>
    <row r="16" spans="1:9" ht="18" customHeight="1">
      <c r="A16" s="7"/>
      <c r="B16" s="47" t="str">
        <f>'Input Sheet'!B44</f>
        <v>2:00-3:00 pm</v>
      </c>
      <c r="C16" s="343" t="str">
        <f>IF(Worksheet!AE26=0," ",Worksheet!AE26)</f>
        <v xml:space="preserve"> </v>
      </c>
      <c r="D16" s="344"/>
      <c r="E16" s="343" t="str">
        <f>IF(Worksheet!AF26=0," ",Worksheet!AF26)</f>
        <v xml:space="preserve"> </v>
      </c>
      <c r="F16" s="344"/>
      <c r="G16" s="343" t="str">
        <f>IF(Worksheet!AC26=0," ",Worksheet!EH26)</f>
        <v xml:space="preserve"> </v>
      </c>
      <c r="H16" s="344"/>
      <c r="I16" s="9"/>
    </row>
    <row r="17" spans="1:9" ht="18" customHeight="1">
      <c r="A17" s="7"/>
      <c r="B17" s="47" t="str">
        <f>'Input Sheet'!B45</f>
        <v>3:00-4:00 pm</v>
      </c>
      <c r="C17" s="343" t="str">
        <f>IF(Worksheet!AE27=0," ",Worksheet!AE27)</f>
        <v xml:space="preserve"> </v>
      </c>
      <c r="D17" s="344"/>
      <c r="E17" s="343" t="str">
        <f>IF(Worksheet!AF27=0," ",Worksheet!AF27)</f>
        <v xml:space="preserve"> </v>
      </c>
      <c r="F17" s="344"/>
      <c r="G17" s="343" t="str">
        <f>IF(Worksheet!AC27=0," ",Worksheet!EH27)</f>
        <v xml:space="preserve"> </v>
      </c>
      <c r="H17" s="344"/>
      <c r="I17" s="9"/>
    </row>
    <row r="18" spans="1:9" ht="18" customHeight="1">
      <c r="A18" s="7"/>
      <c r="B18" s="47" t="str">
        <f>'Input Sheet'!B46</f>
        <v>4:00-5:00 pm</v>
      </c>
      <c r="C18" s="343" t="str">
        <f>IF(Worksheet!AE28=0," ",Worksheet!AE28)</f>
        <v xml:space="preserve"> </v>
      </c>
      <c r="D18" s="344"/>
      <c r="E18" s="343" t="str">
        <f>IF(Worksheet!AF28=0," ",Worksheet!AF28)</f>
        <v xml:space="preserve"> </v>
      </c>
      <c r="F18" s="344"/>
      <c r="G18" s="343" t="str">
        <f>IF(Worksheet!AC28=0," ",Worksheet!EH28)</f>
        <v xml:space="preserve"> </v>
      </c>
      <c r="H18" s="344"/>
      <c r="I18" s="9"/>
    </row>
    <row r="19" spans="1:9" ht="18" customHeight="1">
      <c r="A19" s="7"/>
      <c r="B19" s="47" t="str">
        <f>'Input Sheet'!B47</f>
        <v>5:00-6:00 pm</v>
      </c>
      <c r="C19" s="343" t="str">
        <f>IF(Worksheet!AE29=0," ",Worksheet!AE29)</f>
        <v xml:space="preserve"> </v>
      </c>
      <c r="D19" s="344"/>
      <c r="E19" s="343" t="str">
        <f>IF(Worksheet!AF29=0," ",Worksheet!AF29)</f>
        <v xml:space="preserve"> </v>
      </c>
      <c r="F19" s="344"/>
      <c r="G19" s="343" t="str">
        <f>IF(Worksheet!AC29=0," ",Worksheet!EH29)</f>
        <v xml:space="preserve"> </v>
      </c>
      <c r="H19" s="344"/>
      <c r="I19" s="9"/>
    </row>
    <row r="20" spans="1:9" ht="18" customHeight="1">
      <c r="A20" s="7"/>
      <c r="B20" s="47" t="str">
        <f>'Input Sheet'!B48</f>
        <v>6:00-7:00 pm</v>
      </c>
      <c r="C20" s="343" t="str">
        <f>IF(Worksheet!AE30=0," ",Worksheet!AE30)</f>
        <v xml:space="preserve"> </v>
      </c>
      <c r="D20" s="344"/>
      <c r="E20" s="343" t="str">
        <f>IF(Worksheet!AF30=0," ",Worksheet!AF30)</f>
        <v xml:space="preserve"> </v>
      </c>
      <c r="F20" s="344"/>
      <c r="G20" s="343" t="str">
        <f>IF(Worksheet!AC30=0," ",Worksheet!EH30)</f>
        <v xml:space="preserve"> </v>
      </c>
      <c r="H20" s="344"/>
      <c r="I20" s="9"/>
    </row>
    <row r="21" spans="1:9" ht="18" customHeight="1">
      <c r="A21" s="7"/>
      <c r="B21" s="8"/>
      <c r="C21" s="256"/>
      <c r="D21" s="8"/>
      <c r="E21" s="8"/>
      <c r="F21" s="8"/>
      <c r="G21" s="8"/>
      <c r="H21" s="8"/>
      <c r="I21" s="9"/>
    </row>
    <row r="22" spans="1:9" ht="30" customHeight="1">
      <c r="A22" s="7"/>
      <c r="B22" s="8"/>
      <c r="C22" s="256"/>
      <c r="D22" s="8"/>
      <c r="E22" s="8"/>
      <c r="F22" s="8"/>
      <c r="G22" s="8"/>
      <c r="H22" s="8"/>
      <c r="I22" s="9"/>
    </row>
    <row r="23" spans="1:9" ht="15" customHeight="1">
      <c r="A23" s="7"/>
      <c r="B23" s="8"/>
      <c r="C23" s="256"/>
      <c r="D23" s="375" t="s">
        <v>269</v>
      </c>
      <c r="E23" s="375"/>
      <c r="F23" s="375"/>
      <c r="G23" s="273"/>
      <c r="H23" s="273"/>
      <c r="I23" s="9"/>
    </row>
    <row r="24" spans="1:9" ht="15" customHeight="1">
      <c r="A24" s="7"/>
      <c r="B24" s="8"/>
      <c r="C24" s="256"/>
      <c r="D24" s="375" t="s">
        <v>270</v>
      </c>
      <c r="E24" s="375"/>
      <c r="F24" s="375"/>
      <c r="G24" s="273"/>
      <c r="H24" s="273"/>
      <c r="I24" s="9"/>
    </row>
    <row r="25" spans="1:9" ht="15" customHeight="1">
      <c r="A25" s="7"/>
      <c r="B25" s="8"/>
      <c r="C25" s="256"/>
      <c r="D25" s="29"/>
      <c r="E25" s="261" t="str">
        <f>IF(Worksheet!W31&gt;Worksheet!AA31,"EB","NB")</f>
        <v>NB</v>
      </c>
      <c r="F25" s="261" t="str">
        <f>IF(Worksheet!W31&gt;Worksheet!AA31,"WB","SB")</f>
        <v>SB</v>
      </c>
      <c r="G25" s="273"/>
      <c r="H25" s="273"/>
      <c r="I25" s="9"/>
    </row>
    <row r="26" spans="1:9" ht="18" customHeight="1">
      <c r="A26" s="7"/>
      <c r="B26" s="8"/>
      <c r="C26" s="302" t="str">
        <f>'Input Sheet'!B36</f>
        <v>6:00-7:00 am</v>
      </c>
      <c r="D26" s="376"/>
      <c r="E26" s="251" t="str">
        <f>IF('Input Sheet'!E53=0," ",'Input Sheet'!E53)</f>
        <v xml:space="preserve"> </v>
      </c>
      <c r="F26" s="251" t="str">
        <f>IF('Input Sheet'!F53=0," ",'Input Sheet'!F53)</f>
        <v xml:space="preserve"> </v>
      </c>
      <c r="G26" s="256"/>
      <c r="H26" s="29"/>
      <c r="I26" s="9"/>
    </row>
    <row r="27" spans="1:9" ht="18" customHeight="1">
      <c r="A27" s="7"/>
      <c r="B27" s="8"/>
      <c r="C27" s="302" t="str">
        <f>'Input Sheet'!B37</f>
        <v>7:00-8:00 am</v>
      </c>
      <c r="D27" s="376"/>
      <c r="E27" s="251" t="str">
        <f>IF('Input Sheet'!E54=0," ",'Input Sheet'!E54)</f>
        <v xml:space="preserve"> </v>
      </c>
      <c r="F27" s="251" t="str">
        <f>IF('Input Sheet'!F54=0," ",'Input Sheet'!F54)</f>
        <v xml:space="preserve"> </v>
      </c>
      <c r="G27" s="256"/>
      <c r="H27" s="29"/>
      <c r="I27" s="9"/>
    </row>
    <row r="28" spans="1:9" ht="18" customHeight="1">
      <c r="A28" s="7"/>
      <c r="B28" s="8"/>
      <c r="C28" s="302" t="str">
        <f>'Input Sheet'!B38</f>
        <v>8:00-9:00 am</v>
      </c>
      <c r="D28" s="376"/>
      <c r="E28" s="251" t="str">
        <f>IF('Input Sheet'!E55=0," ",'Input Sheet'!E55)</f>
        <v xml:space="preserve"> </v>
      </c>
      <c r="F28" s="251" t="str">
        <f>IF('Input Sheet'!F55=0," ",'Input Sheet'!F55)</f>
        <v xml:space="preserve"> </v>
      </c>
      <c r="G28" s="256"/>
      <c r="H28" s="29"/>
      <c r="I28" s="9"/>
    </row>
    <row r="29" spans="1:9" ht="18" customHeight="1">
      <c r="A29" s="7"/>
      <c r="B29" s="8"/>
      <c r="C29" s="302" t="str">
        <f>'Input Sheet'!B39</f>
        <v>9:00-10:00 am</v>
      </c>
      <c r="D29" s="376"/>
      <c r="E29" s="251" t="str">
        <f>IF('Input Sheet'!E56=0," ",'Input Sheet'!E56)</f>
        <v xml:space="preserve"> </v>
      </c>
      <c r="F29" s="251" t="str">
        <f>IF('Input Sheet'!F56=0," ",'Input Sheet'!F56)</f>
        <v xml:space="preserve"> </v>
      </c>
      <c r="G29" s="256"/>
      <c r="H29" s="29"/>
      <c r="I29" s="9"/>
    </row>
    <row r="30" spans="1:9" ht="18" customHeight="1">
      <c r="A30" s="7"/>
      <c r="B30" s="8"/>
      <c r="C30" s="302" t="str">
        <f>'Input Sheet'!B40</f>
        <v>10:00-11:00 am</v>
      </c>
      <c r="D30" s="376"/>
      <c r="E30" s="251" t="str">
        <f>IF('Input Sheet'!E57=0," ",'Input Sheet'!E57)</f>
        <v xml:space="preserve"> </v>
      </c>
      <c r="F30" s="251" t="str">
        <f>IF('Input Sheet'!F57=0," ",'Input Sheet'!F57)</f>
        <v xml:space="preserve"> </v>
      </c>
      <c r="G30" s="256"/>
      <c r="H30" s="29"/>
      <c r="I30" s="9"/>
    </row>
    <row r="31" spans="1:9" ht="18" customHeight="1">
      <c r="A31" s="7"/>
      <c r="B31" s="8"/>
      <c r="C31" s="302" t="str">
        <f>'Input Sheet'!B41</f>
        <v>11:00-12:00 n</v>
      </c>
      <c r="D31" s="376"/>
      <c r="E31" s="251" t="str">
        <f>IF('Input Sheet'!E58=0," ",'Input Sheet'!E58)</f>
        <v xml:space="preserve"> </v>
      </c>
      <c r="F31" s="251" t="str">
        <f>IF('Input Sheet'!F58=0," ",'Input Sheet'!F58)</f>
        <v xml:space="preserve"> </v>
      </c>
      <c r="G31" s="256"/>
      <c r="H31" s="29"/>
      <c r="I31" s="9"/>
    </row>
    <row r="32" spans="1:9" ht="18" customHeight="1">
      <c r="A32" s="7"/>
      <c r="B32" s="8"/>
      <c r="C32" s="302" t="str">
        <f>'Input Sheet'!B42</f>
        <v>12:00-1:00 pm</v>
      </c>
      <c r="D32" s="376"/>
      <c r="E32" s="251" t="str">
        <f>IF('Input Sheet'!E59=0," ",'Input Sheet'!E59)</f>
        <v xml:space="preserve"> </v>
      </c>
      <c r="F32" s="251" t="str">
        <f>IF('Input Sheet'!F59=0," ",'Input Sheet'!F59)</f>
        <v xml:space="preserve"> </v>
      </c>
      <c r="G32" s="256"/>
      <c r="H32" s="29"/>
      <c r="I32" s="9"/>
    </row>
    <row r="33" spans="1:9" ht="18" customHeight="1">
      <c r="A33" s="7"/>
      <c r="B33" s="8"/>
      <c r="C33" s="302" t="str">
        <f>'Input Sheet'!B43</f>
        <v>1:00-2:00 pm</v>
      </c>
      <c r="D33" s="376"/>
      <c r="E33" s="251" t="str">
        <f>IF('Input Sheet'!E60=0," ",'Input Sheet'!E60)</f>
        <v xml:space="preserve"> </v>
      </c>
      <c r="F33" s="251" t="str">
        <f>IF('Input Sheet'!F60=0," ",'Input Sheet'!F60)</f>
        <v xml:space="preserve"> </v>
      </c>
      <c r="G33" s="256"/>
      <c r="H33" s="29"/>
      <c r="I33" s="9"/>
    </row>
    <row r="34" spans="1:9" ht="18" customHeight="1">
      <c r="A34" s="7"/>
      <c r="B34" s="8"/>
      <c r="C34" s="302" t="str">
        <f>'Input Sheet'!B44</f>
        <v>2:00-3:00 pm</v>
      </c>
      <c r="D34" s="376"/>
      <c r="E34" s="251" t="str">
        <f>IF('Input Sheet'!E61=0," ",'Input Sheet'!E61)</f>
        <v xml:space="preserve"> </v>
      </c>
      <c r="F34" s="251" t="str">
        <f>IF('Input Sheet'!F61=0," ",'Input Sheet'!F61)</f>
        <v xml:space="preserve"> </v>
      </c>
      <c r="G34" s="256"/>
      <c r="H34" s="29"/>
      <c r="I34" s="9"/>
    </row>
    <row r="35" spans="1:9" ht="18" customHeight="1">
      <c r="A35" s="7"/>
      <c r="B35" s="8"/>
      <c r="C35" s="302" t="str">
        <f>'Input Sheet'!B45</f>
        <v>3:00-4:00 pm</v>
      </c>
      <c r="D35" s="376"/>
      <c r="E35" s="251" t="str">
        <f>IF('Input Sheet'!E62=0," ",'Input Sheet'!E62)</f>
        <v xml:space="preserve"> </v>
      </c>
      <c r="F35" s="251" t="str">
        <f>IF('Input Sheet'!F62=0," ",'Input Sheet'!F62)</f>
        <v xml:space="preserve"> </v>
      </c>
      <c r="G35" s="256"/>
      <c r="H35" s="29"/>
      <c r="I35" s="9"/>
    </row>
    <row r="36" spans="1:9" ht="18" customHeight="1">
      <c r="A36" s="7"/>
      <c r="B36" s="8"/>
      <c r="C36" s="302" t="str">
        <f>'Input Sheet'!B46</f>
        <v>4:00-5:00 pm</v>
      </c>
      <c r="D36" s="376"/>
      <c r="E36" s="251" t="str">
        <f>IF('Input Sheet'!E63=0," ",'Input Sheet'!E63)</f>
        <v xml:space="preserve"> </v>
      </c>
      <c r="F36" s="251" t="str">
        <f>IF('Input Sheet'!F63=0," ",'Input Sheet'!F63)</f>
        <v xml:space="preserve"> </v>
      </c>
      <c r="G36" s="256"/>
      <c r="H36" s="29"/>
      <c r="I36" s="9"/>
    </row>
    <row r="37" spans="1:9" ht="18" customHeight="1">
      <c r="A37" s="7"/>
      <c r="B37" s="8"/>
      <c r="C37" s="302" t="str">
        <f>'Input Sheet'!B47</f>
        <v>5:00-6:00 pm</v>
      </c>
      <c r="D37" s="376"/>
      <c r="E37" s="251" t="str">
        <f>IF('Input Sheet'!E64=0," ",'Input Sheet'!E64)</f>
        <v xml:space="preserve"> </v>
      </c>
      <c r="F37" s="251" t="str">
        <f>IF('Input Sheet'!F64=0," ",'Input Sheet'!F64)</f>
        <v xml:space="preserve"> </v>
      </c>
      <c r="G37" s="256"/>
      <c r="H37" s="29"/>
      <c r="I37" s="9"/>
    </row>
    <row r="38" spans="1:9" ht="18" customHeight="1">
      <c r="A38" s="7"/>
      <c r="B38" s="8"/>
      <c r="C38" s="302" t="str">
        <f>'Input Sheet'!B48</f>
        <v>6:00-7:00 pm</v>
      </c>
      <c r="D38" s="376"/>
      <c r="E38" s="251" t="str">
        <f>IF('Input Sheet'!E65=0," ",'Input Sheet'!E65)</f>
        <v xml:space="preserve"> </v>
      </c>
      <c r="F38" s="251" t="str">
        <f>IF('Input Sheet'!F65=0," ",'Input Sheet'!F65)</f>
        <v xml:space="preserve"> </v>
      </c>
      <c r="G38" s="256"/>
      <c r="H38" s="29"/>
      <c r="I38" s="9"/>
    </row>
    <row r="39" spans="1:9" ht="6" customHeight="1" thickBot="1">
      <c r="A39" s="27"/>
      <c r="B39" s="70"/>
      <c r="C39" s="252"/>
      <c r="D39" s="70"/>
      <c r="E39" s="70"/>
      <c r="F39" s="70"/>
      <c r="G39" s="70"/>
      <c r="H39" s="70"/>
      <c r="I39" s="11"/>
    </row>
    <row r="40" spans="1:9">
      <c r="B40" s="31"/>
      <c r="D40" s="31"/>
      <c r="E40" s="31"/>
      <c r="F40" s="31"/>
      <c r="G40" s="31"/>
      <c r="H40" s="31"/>
    </row>
    <row r="41" spans="1:9">
      <c r="B41" s="31"/>
      <c r="D41" s="31"/>
      <c r="E41" s="31"/>
      <c r="F41" s="31"/>
      <c r="G41" s="31"/>
      <c r="H41" s="31"/>
    </row>
    <row r="42" spans="1:9">
      <c r="B42" s="31"/>
      <c r="D42" s="31"/>
      <c r="E42" s="31"/>
      <c r="F42" s="31"/>
      <c r="G42" s="31"/>
      <c r="H42" s="31"/>
    </row>
  </sheetData>
  <sheetProtection password="E0BD" sheet="1" objects="1" scenarios="1" selectLockedCells="1"/>
  <mergeCells count="62">
    <mergeCell ref="C36:D36"/>
    <mergeCell ref="C37:D37"/>
    <mergeCell ref="C38:D38"/>
    <mergeCell ref="C31:D31"/>
    <mergeCell ref="C32:D32"/>
    <mergeCell ref="C33:D33"/>
    <mergeCell ref="C34:D34"/>
    <mergeCell ref="C35:D35"/>
    <mergeCell ref="C26:D26"/>
    <mergeCell ref="C27:D27"/>
    <mergeCell ref="C28:D28"/>
    <mergeCell ref="C29:D29"/>
    <mergeCell ref="C30:D30"/>
    <mergeCell ref="D23:F23"/>
    <mergeCell ref="D24:F24"/>
    <mergeCell ref="C18:D18"/>
    <mergeCell ref="G17:H17"/>
    <mergeCell ref="G18:H18"/>
    <mergeCell ref="G19:H19"/>
    <mergeCell ref="C19:D19"/>
    <mergeCell ref="C20:D20"/>
    <mergeCell ref="G20:H20"/>
    <mergeCell ref="C17:D17"/>
    <mergeCell ref="E20:F20"/>
    <mergeCell ref="E19:F19"/>
    <mergeCell ref="E11:F11"/>
    <mergeCell ref="B6:B7"/>
    <mergeCell ref="E16:F16"/>
    <mergeCell ref="E17:F17"/>
    <mergeCell ref="E18:F18"/>
    <mergeCell ref="C15:D15"/>
    <mergeCell ref="C13:D13"/>
    <mergeCell ref="C14:D14"/>
    <mergeCell ref="C7:D7"/>
    <mergeCell ref="C11:D11"/>
    <mergeCell ref="C12:D12"/>
    <mergeCell ref="C16:D16"/>
    <mergeCell ref="C8:D8"/>
    <mergeCell ref="C9:D9"/>
    <mergeCell ref="C10:D10"/>
    <mergeCell ref="E7:F7"/>
    <mergeCell ref="B4:H4"/>
    <mergeCell ref="C6:D6"/>
    <mergeCell ref="E6:F6"/>
    <mergeCell ref="G6:H6"/>
    <mergeCell ref="G7:H7"/>
    <mergeCell ref="G16:H16"/>
    <mergeCell ref="E12:F12"/>
    <mergeCell ref="E15:F15"/>
    <mergeCell ref="E9:F9"/>
    <mergeCell ref="E8:F8"/>
    <mergeCell ref="G15:H15"/>
    <mergeCell ref="G8:H8"/>
    <mergeCell ref="G9:H9"/>
    <mergeCell ref="G13:H13"/>
    <mergeCell ref="G10:H10"/>
    <mergeCell ref="G11:H11"/>
    <mergeCell ref="E13:F13"/>
    <mergeCell ref="E14:F14"/>
    <mergeCell ref="G12:H12"/>
    <mergeCell ref="G14:H14"/>
    <mergeCell ref="E10:F10"/>
  </mergeCells>
  <phoneticPr fontId="7" type="noConversion"/>
  <printOptions horizontalCentered="1" verticalCentered="1"/>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R60"/>
  <sheetViews>
    <sheetView zoomScaleNormal="100" workbookViewId="0"/>
  </sheetViews>
  <sheetFormatPr defaultRowHeight="12.75"/>
  <cols>
    <col min="13" max="13" width="6.42578125" bestFit="1" customWidth="1"/>
    <col min="14" max="14" width="11.5703125" bestFit="1" customWidth="1"/>
    <col min="15" max="15" width="7.28515625" bestFit="1" customWidth="1"/>
    <col min="16" max="16" width="7.140625" bestFit="1" customWidth="1"/>
    <col min="17" max="17" width="7.28515625" bestFit="1" customWidth="1"/>
    <col min="18" max="18" width="7.140625" bestFit="1" customWidth="1"/>
  </cols>
  <sheetData>
    <row r="1" spans="1:18">
      <c r="A1" s="237" t="str">
        <f>'Input Sheet'!B1</f>
        <v>Form TR-01, Revised 3/10/15</v>
      </c>
      <c r="B1" s="13"/>
      <c r="C1" s="13"/>
      <c r="D1" s="13"/>
      <c r="E1" s="13"/>
      <c r="F1" s="13"/>
      <c r="G1" s="13"/>
      <c r="H1" s="13"/>
      <c r="I1" s="13"/>
      <c r="J1" s="13"/>
      <c r="K1" s="238" t="s">
        <v>304</v>
      </c>
    </row>
    <row r="2" spans="1:18">
      <c r="A2" s="7"/>
      <c r="B2" s="8"/>
      <c r="C2" s="8"/>
      <c r="D2" s="8"/>
      <c r="E2" s="8"/>
      <c r="F2" s="8"/>
      <c r="G2" s="8"/>
      <c r="H2" s="8"/>
      <c r="I2" s="8"/>
      <c r="J2" s="8"/>
      <c r="K2" s="9"/>
    </row>
    <row r="3" spans="1:18">
      <c r="A3" s="7"/>
      <c r="B3" s="8"/>
      <c r="C3" s="8"/>
      <c r="D3" s="8"/>
      <c r="E3" s="8"/>
      <c r="F3" s="8"/>
      <c r="G3" s="8"/>
      <c r="H3" s="8"/>
      <c r="I3" s="8"/>
      <c r="J3" s="8"/>
      <c r="K3" s="9"/>
    </row>
    <row r="4" spans="1:18">
      <c r="A4" s="7"/>
      <c r="B4" s="8"/>
      <c r="C4" s="8"/>
      <c r="D4" s="8"/>
      <c r="E4" s="8"/>
      <c r="F4" s="8"/>
      <c r="G4" s="8"/>
      <c r="H4" s="8"/>
      <c r="I4" s="8"/>
      <c r="J4" s="8"/>
      <c r="K4" s="9"/>
    </row>
    <row r="5" spans="1:18">
      <c r="A5" s="7"/>
      <c r="B5" s="8"/>
      <c r="C5" s="8"/>
      <c r="D5" s="8"/>
      <c r="E5" s="8"/>
      <c r="F5" s="8"/>
      <c r="G5" s="8"/>
      <c r="H5" s="8"/>
      <c r="I5" s="8"/>
      <c r="J5" s="8"/>
      <c r="K5" s="9"/>
      <c r="M5" s="225"/>
      <c r="N5" s="225" t="s">
        <v>171</v>
      </c>
      <c r="O5" s="225" t="s">
        <v>156</v>
      </c>
      <c r="P5" s="225"/>
      <c r="Q5" s="225" t="s">
        <v>167</v>
      </c>
      <c r="R5" s="225"/>
    </row>
    <row r="6" spans="1:18">
      <c r="A6" s="7"/>
      <c r="B6" s="8"/>
      <c r="C6" s="8"/>
      <c r="D6" s="8"/>
      <c r="E6" s="8"/>
      <c r="F6" s="8"/>
      <c r="G6" s="8"/>
      <c r="H6" s="8"/>
      <c r="I6" s="8"/>
      <c r="J6" s="8"/>
      <c r="K6" s="9"/>
      <c r="M6" s="225"/>
      <c r="N6" s="225" t="s">
        <v>400</v>
      </c>
      <c r="O6" s="225" t="s">
        <v>401</v>
      </c>
      <c r="P6" s="225" t="s">
        <v>402</v>
      </c>
      <c r="Q6" s="225" t="s">
        <v>401</v>
      </c>
      <c r="R6" s="225" t="s">
        <v>402</v>
      </c>
    </row>
    <row r="7" spans="1:18">
      <c r="A7" s="7"/>
      <c r="B7" s="8"/>
      <c r="C7" s="8"/>
      <c r="D7" s="8"/>
      <c r="E7" s="8"/>
      <c r="F7" s="8"/>
      <c r="G7" s="8"/>
      <c r="H7" s="8"/>
      <c r="I7" s="8"/>
      <c r="J7" s="8"/>
      <c r="K7" s="9"/>
      <c r="M7" s="225" t="s">
        <v>397</v>
      </c>
      <c r="N7" s="225" t="s">
        <v>165</v>
      </c>
      <c r="O7" s="225" t="s">
        <v>171</v>
      </c>
      <c r="P7" s="225" t="s">
        <v>403</v>
      </c>
      <c r="Q7" s="231" t="s">
        <v>171</v>
      </c>
      <c r="R7" s="225" t="s">
        <v>403</v>
      </c>
    </row>
    <row r="8" spans="1:18">
      <c r="A8" s="7"/>
      <c r="B8" s="8"/>
      <c r="C8" s="8"/>
      <c r="D8" s="8"/>
      <c r="E8" s="8"/>
      <c r="F8" s="8"/>
      <c r="G8" s="8"/>
      <c r="H8" s="8"/>
      <c r="I8" s="8"/>
      <c r="J8" s="8"/>
      <c r="K8" s="9"/>
      <c r="M8" s="113" t="str">
        <f>Worksheet!CA18</f>
        <v>N/A</v>
      </c>
      <c r="N8" s="239" t="str">
        <f>Worksheet!CE18</f>
        <v>N/A</v>
      </c>
      <c r="O8" s="225" t="str">
        <f>Worksheet!CB18</f>
        <v>N/A</v>
      </c>
      <c r="P8" s="240" t="str">
        <f>IF(Worksheet!$BT$6="Yes","N/A",IF(M8="N/A",0,IF(O8&gt;$P$18,$N$18,IF(O8&lt;300,0,$N$17*(O8-300)/1100))))</f>
        <v>N/A</v>
      </c>
      <c r="Q8" s="225" t="str">
        <f>Worksheet!CC18</f>
        <v>N/A</v>
      </c>
      <c r="R8" s="240" t="str">
        <f>IF(Worksheet!$BT$6="Yes","N/A",IF(M8="N/A",0,$N$19*(Q8/500)))</f>
        <v>N/A</v>
      </c>
    </row>
    <row r="9" spans="1:18">
      <c r="A9" s="7"/>
      <c r="B9" s="8"/>
      <c r="C9" s="8"/>
      <c r="D9" s="8"/>
      <c r="E9" s="8"/>
      <c r="F9" s="8"/>
      <c r="G9" s="8"/>
      <c r="H9" s="8"/>
      <c r="I9" s="8"/>
      <c r="J9" s="8"/>
      <c r="K9" s="9"/>
      <c r="M9" s="113" t="str">
        <f>Worksheet!CA19</f>
        <v>N/A</v>
      </c>
      <c r="N9" s="239" t="str">
        <f>Worksheet!CE19</f>
        <v>N/A</v>
      </c>
      <c r="O9" s="225" t="str">
        <f>Worksheet!CB19</f>
        <v>N/A</v>
      </c>
      <c r="P9" s="240" t="str">
        <f>IF(Worksheet!$BT$6="Yes","N/A",IF(M9="N/A",0,IF(O9&gt;$P$18,$N$18,IF(O9&lt;300,0,$N$17*(O9-300)/1100))))</f>
        <v>N/A</v>
      </c>
      <c r="Q9" s="225" t="str">
        <f>Worksheet!CC19</f>
        <v>N/A</v>
      </c>
      <c r="R9" s="240" t="str">
        <f>IF(Worksheet!$BT$6="Yes","N/A",IF(M9="N/A",0,$N$19*(Q9/500)))</f>
        <v>N/A</v>
      </c>
    </row>
    <row r="10" spans="1:18">
      <c r="A10" s="7"/>
      <c r="B10" s="8"/>
      <c r="C10" s="8"/>
      <c r="D10" s="8"/>
      <c r="E10" s="8"/>
      <c r="F10" s="8"/>
      <c r="G10" s="8"/>
      <c r="H10" s="8"/>
      <c r="I10" s="8"/>
      <c r="J10" s="8"/>
      <c r="K10" s="9"/>
      <c r="M10" s="113" t="str">
        <f>Worksheet!CA20</f>
        <v>N/A</v>
      </c>
      <c r="N10" s="239" t="str">
        <f>Worksheet!CE20</f>
        <v>N/A</v>
      </c>
      <c r="O10" s="225" t="str">
        <f>Worksheet!CB20</f>
        <v>N/A</v>
      </c>
      <c r="P10" s="240" t="str">
        <f>IF(Worksheet!$BT$6="Yes","N/A",IF(M10="N/A",0,IF(O10&gt;$P$18,$N$18,IF(O10&lt;300,0,$N$17*(O10-300)/1100))))</f>
        <v>N/A</v>
      </c>
      <c r="Q10" s="225" t="str">
        <f>Worksheet!CC20</f>
        <v>N/A</v>
      </c>
      <c r="R10" s="240" t="str">
        <f>IF(Worksheet!$BT$6="Yes","N/A",IF(M10="N/A",0,$N$19*(Q10/500)))</f>
        <v>N/A</v>
      </c>
    </row>
    <row r="11" spans="1:18">
      <c r="A11" s="7"/>
      <c r="B11" s="8"/>
      <c r="C11" s="8"/>
      <c r="D11" s="8"/>
      <c r="E11" s="8"/>
      <c r="F11" s="8"/>
      <c r="G11" s="8"/>
      <c r="H11" s="8"/>
      <c r="I11" s="8"/>
      <c r="J11" s="8"/>
      <c r="K11" s="9"/>
      <c r="M11" s="113" t="str">
        <f>Worksheet!CA21</f>
        <v>N/A</v>
      </c>
      <c r="N11" s="239" t="str">
        <f>Worksheet!CE21</f>
        <v>N/A</v>
      </c>
      <c r="O11" s="225" t="str">
        <f>Worksheet!CB21</f>
        <v>N/A</v>
      </c>
      <c r="P11" s="240" t="str">
        <f>IF(Worksheet!$BT$6="Yes","N/A",IF(M11="N/A",0,IF(O11&gt;$P$18,$N$18,IF(O11&lt;300,0,$N$17*(O11-300)/1100))))</f>
        <v>N/A</v>
      </c>
      <c r="Q11" s="225" t="str">
        <f>Worksheet!CC21</f>
        <v>N/A</v>
      </c>
      <c r="R11" s="240" t="str">
        <f>IF(Worksheet!$BT$6="Yes","N/A",IF(M11="N/A",0,$N$19*(Q11/500)))</f>
        <v>N/A</v>
      </c>
    </row>
    <row r="12" spans="1:18">
      <c r="A12" s="7"/>
      <c r="B12" s="8"/>
      <c r="C12" s="8"/>
      <c r="D12" s="8"/>
      <c r="E12" s="8"/>
      <c r="F12" s="8"/>
      <c r="G12" s="8"/>
      <c r="H12" s="8"/>
      <c r="I12" s="8"/>
      <c r="J12" s="8"/>
      <c r="K12" s="9"/>
      <c r="M12" s="113" t="str">
        <f>Worksheet!CA22</f>
        <v>N/A</v>
      </c>
      <c r="N12" s="239" t="str">
        <f>Worksheet!CE22</f>
        <v>N/A</v>
      </c>
      <c r="O12" s="225" t="str">
        <f>Worksheet!CB22</f>
        <v>N/A</v>
      </c>
      <c r="P12" s="240" t="str">
        <f>IF(Worksheet!$BT$6="Yes","N/A",IF(M12="N/A",0,IF(O12&gt;$P$18,$N$18,IF(O12&lt;300,0,$N$17*(O12-300)/1100))))</f>
        <v>N/A</v>
      </c>
      <c r="Q12" s="225" t="str">
        <f>Worksheet!CC22</f>
        <v>N/A</v>
      </c>
      <c r="R12" s="240" t="str">
        <f>IF(Worksheet!$BT$6="Yes","N/A",IF(M12="N/A",0,$N$19*(Q12/500)))</f>
        <v>N/A</v>
      </c>
    </row>
    <row r="13" spans="1:18">
      <c r="A13" s="7"/>
      <c r="B13" s="8"/>
      <c r="C13" s="8"/>
      <c r="D13" s="8"/>
      <c r="E13" s="8"/>
      <c r="F13" s="8"/>
      <c r="G13" s="8"/>
      <c r="H13" s="8"/>
      <c r="I13" s="8"/>
      <c r="J13" s="8"/>
      <c r="K13" s="9"/>
      <c r="M13" s="113" t="str">
        <f>Worksheet!CA23</f>
        <v>N/A</v>
      </c>
      <c r="N13" s="239" t="str">
        <f>Worksheet!CE23</f>
        <v>N/A</v>
      </c>
      <c r="O13" s="225" t="str">
        <f>Worksheet!CB23</f>
        <v>N/A</v>
      </c>
      <c r="P13" s="240" t="str">
        <f>IF(Worksheet!$BT$6="Yes","N/A",IF(M13="N/A",0,IF(O13&gt;$P$18,$N$18,IF(O13&lt;300,0,$N$17*(O13-300)/1100))))</f>
        <v>N/A</v>
      </c>
      <c r="Q13" s="225" t="str">
        <f>Worksheet!CC23</f>
        <v>N/A</v>
      </c>
      <c r="R13" s="240" t="str">
        <f>IF(Worksheet!$BT$6="Yes","N/A",IF(M13="N/A",0,$N$19*(Q13/500)))</f>
        <v>N/A</v>
      </c>
    </row>
    <row r="14" spans="1:18">
      <c r="A14" s="7"/>
      <c r="B14" s="8"/>
      <c r="C14" s="8"/>
      <c r="D14" s="8"/>
      <c r="E14" s="8"/>
      <c r="F14" s="8"/>
      <c r="G14" s="8"/>
      <c r="H14" s="8"/>
      <c r="I14" s="8"/>
      <c r="J14" s="8"/>
      <c r="K14" s="9"/>
      <c r="M14" s="113" t="str">
        <f>Worksheet!CA24</f>
        <v>N/A</v>
      </c>
      <c r="N14" s="239" t="str">
        <f>Worksheet!CE24</f>
        <v>N/A</v>
      </c>
      <c r="O14" s="225" t="str">
        <f>Worksheet!CB24</f>
        <v>N/A</v>
      </c>
      <c r="P14" s="240" t="str">
        <f>IF(Worksheet!$BT$6="Yes","N/A",IF(M14="N/A",0,IF(O14&gt;$P$18,$N$18,IF(O14&lt;300,0,$N$17*(O14-300)/1100))))</f>
        <v>N/A</v>
      </c>
      <c r="Q14" s="225" t="str">
        <f>Worksheet!CC24</f>
        <v>N/A</v>
      </c>
      <c r="R14" s="240" t="str">
        <f>IF(Worksheet!$BT$6="Yes","N/A",IF(M14="N/A",0,$N$19*(Q14/500)))</f>
        <v>N/A</v>
      </c>
    </row>
    <row r="15" spans="1:18">
      <c r="A15" s="7"/>
      <c r="B15" s="8"/>
      <c r="C15" s="8"/>
      <c r="D15" s="8"/>
      <c r="E15" s="8"/>
      <c r="F15" s="8"/>
      <c r="G15" s="8"/>
      <c r="H15" s="8"/>
      <c r="I15" s="8"/>
      <c r="J15" s="8"/>
      <c r="K15" s="9"/>
      <c r="M15" s="113" t="str">
        <f>Worksheet!CA25</f>
        <v>N/A</v>
      </c>
      <c r="N15" s="239" t="str">
        <f>Worksheet!CE25</f>
        <v>N/A</v>
      </c>
      <c r="O15" s="225" t="str">
        <f>Worksheet!CB25</f>
        <v>N/A</v>
      </c>
      <c r="P15" s="240" t="str">
        <f>IF(Worksheet!$BT$6="Yes","N/A",IF(M15="N/A",0,IF(O15&gt;$P$18,$N$18,IF(O15&lt;300,0,$N$17*(O15-300)/1100))))</f>
        <v>N/A</v>
      </c>
      <c r="Q15" s="225" t="str">
        <f>Worksheet!CC25</f>
        <v>N/A</v>
      </c>
      <c r="R15" s="240" t="str">
        <f>IF(Worksheet!$BT$6="Yes","N/A",IF(M15="N/A",0,$N$19*(Q15/500)))</f>
        <v>N/A</v>
      </c>
    </row>
    <row r="16" spans="1:18">
      <c r="A16" s="7"/>
      <c r="B16" s="8"/>
      <c r="C16" s="8"/>
      <c r="D16" s="8"/>
      <c r="E16" s="8"/>
      <c r="F16" s="8"/>
      <c r="G16" s="8"/>
      <c r="H16" s="8"/>
      <c r="I16" s="8"/>
      <c r="J16" s="8"/>
      <c r="K16" s="9"/>
    </row>
    <row r="17" spans="1:16">
      <c r="A17" s="7"/>
      <c r="B17" s="8"/>
      <c r="C17" s="8"/>
      <c r="D17" s="8"/>
      <c r="E17" s="8"/>
      <c r="F17" s="8"/>
      <c r="G17" s="8"/>
      <c r="H17" s="8"/>
      <c r="I17" s="8"/>
      <c r="J17" s="8"/>
      <c r="K17" s="9"/>
      <c r="M17" s="226"/>
      <c r="N17">
        <v>5.59</v>
      </c>
      <c r="O17" s="226" t="s">
        <v>405</v>
      </c>
    </row>
    <row r="18" spans="1:16">
      <c r="A18" s="7"/>
      <c r="B18" s="8"/>
      <c r="C18" s="8"/>
      <c r="D18" s="8"/>
      <c r="E18" s="8"/>
      <c r="F18" s="8"/>
      <c r="G18" s="8"/>
      <c r="H18" s="8"/>
      <c r="I18" s="8"/>
      <c r="J18" s="8"/>
      <c r="K18" s="9"/>
      <c r="M18" s="232"/>
      <c r="N18">
        <v>6.35</v>
      </c>
      <c r="O18" s="226" t="s">
        <v>404</v>
      </c>
      <c r="P18" s="230">
        <f>(1100*N18+N17*300)/N17</f>
        <v>1549.5527728085867</v>
      </c>
    </row>
    <row r="19" spans="1:16">
      <c r="A19" s="7"/>
      <c r="B19" s="8"/>
      <c r="C19" s="8"/>
      <c r="D19" s="8"/>
      <c r="E19" s="8"/>
      <c r="F19" s="8"/>
      <c r="G19" s="8"/>
      <c r="H19" s="8"/>
      <c r="I19" s="8"/>
      <c r="J19" s="8"/>
      <c r="K19" s="9"/>
      <c r="M19" s="226"/>
      <c r="N19">
        <v>2.46</v>
      </c>
      <c r="O19" s="226" t="s">
        <v>406</v>
      </c>
    </row>
    <row r="20" spans="1:16">
      <c r="A20" s="7"/>
      <c r="B20" s="8"/>
      <c r="C20" s="8"/>
      <c r="D20" s="8"/>
      <c r="E20" s="8"/>
      <c r="F20" s="8"/>
      <c r="G20" s="8"/>
      <c r="H20" s="8"/>
      <c r="I20" s="8"/>
      <c r="J20" s="8"/>
      <c r="K20" s="9"/>
      <c r="O20" s="226"/>
    </row>
    <row r="21" spans="1:16">
      <c r="A21" s="7"/>
      <c r="B21" s="8"/>
      <c r="C21" s="8"/>
      <c r="D21" s="8"/>
      <c r="E21" s="8"/>
      <c r="F21" s="8"/>
      <c r="G21" s="8"/>
      <c r="H21" s="8"/>
      <c r="I21" s="8"/>
      <c r="J21" s="8"/>
      <c r="K21" s="9"/>
    </row>
    <row r="22" spans="1:16">
      <c r="A22" s="7"/>
      <c r="B22" s="8"/>
      <c r="C22" s="8"/>
      <c r="D22" s="8"/>
      <c r="E22" s="8"/>
      <c r="F22" s="8"/>
      <c r="G22" s="8"/>
      <c r="H22" s="8"/>
      <c r="I22" s="8"/>
      <c r="J22" s="8"/>
      <c r="K22" s="9"/>
    </row>
    <row r="23" spans="1:16">
      <c r="A23" s="7"/>
      <c r="B23" s="8"/>
      <c r="C23" s="8"/>
      <c r="D23" s="8"/>
      <c r="E23" s="8"/>
      <c r="F23" s="8"/>
      <c r="G23" s="8"/>
      <c r="H23" s="8"/>
      <c r="I23" s="8"/>
      <c r="J23" s="8"/>
      <c r="K23" s="9"/>
    </row>
    <row r="24" spans="1:16">
      <c r="A24" s="7"/>
      <c r="B24" s="8"/>
      <c r="C24" s="8"/>
      <c r="D24" s="8"/>
      <c r="E24" s="8"/>
      <c r="F24" s="8"/>
      <c r="G24" s="8"/>
      <c r="H24" s="8"/>
      <c r="I24" s="8"/>
      <c r="J24" s="8"/>
      <c r="K24" s="9"/>
    </row>
    <row r="25" spans="1:16">
      <c r="A25" s="7"/>
      <c r="B25" s="8"/>
      <c r="C25" s="8"/>
      <c r="D25" s="8"/>
      <c r="E25" s="8"/>
      <c r="F25" s="8"/>
      <c r="G25" s="8"/>
      <c r="H25" s="8"/>
      <c r="I25" s="8"/>
      <c r="J25" s="8"/>
      <c r="K25" s="9"/>
    </row>
    <row r="26" spans="1:16">
      <c r="A26" s="7"/>
      <c r="B26" s="8"/>
      <c r="C26" s="8"/>
      <c r="D26" s="8"/>
      <c r="E26" s="8"/>
      <c r="F26" s="8"/>
      <c r="G26" s="8"/>
      <c r="H26" s="8"/>
      <c r="I26" s="8"/>
      <c r="J26" s="8"/>
      <c r="K26" s="9"/>
    </row>
    <row r="27" spans="1:16">
      <c r="A27" s="7"/>
      <c r="B27" s="8"/>
      <c r="C27" s="8"/>
      <c r="D27" s="8"/>
      <c r="E27" s="8"/>
      <c r="F27" s="8"/>
      <c r="G27" s="8"/>
      <c r="H27" s="8"/>
      <c r="I27" s="8"/>
      <c r="J27" s="8"/>
      <c r="K27" s="9"/>
    </row>
    <row r="28" spans="1:16">
      <c r="A28" s="7"/>
      <c r="B28" s="8"/>
      <c r="C28" s="8"/>
      <c r="D28" s="8"/>
      <c r="E28" s="8"/>
      <c r="F28" s="8"/>
      <c r="G28" s="8"/>
      <c r="H28" s="8"/>
      <c r="I28" s="8"/>
      <c r="J28" s="8"/>
      <c r="K28" s="9"/>
    </row>
    <row r="29" spans="1:16">
      <c r="A29" s="7"/>
      <c r="B29" s="8"/>
      <c r="C29" s="8"/>
      <c r="D29" s="8"/>
      <c r="E29" s="8"/>
      <c r="F29" s="8"/>
      <c r="G29" s="8"/>
      <c r="H29" s="8"/>
      <c r="I29" s="8"/>
      <c r="J29" s="8"/>
      <c r="K29" s="9"/>
    </row>
    <row r="30" spans="1:16">
      <c r="A30" s="7"/>
      <c r="B30" s="8"/>
      <c r="C30" s="8"/>
      <c r="D30" s="8"/>
      <c r="E30" s="8"/>
      <c r="F30" s="8"/>
      <c r="G30" s="8"/>
      <c r="H30" s="8"/>
      <c r="I30" s="8"/>
      <c r="J30" s="8"/>
      <c r="K30" s="9"/>
    </row>
    <row r="31" spans="1:16">
      <c r="A31" s="7"/>
      <c r="B31" s="8"/>
      <c r="C31" s="8"/>
      <c r="D31" s="8"/>
      <c r="E31" s="8"/>
      <c r="F31" s="8"/>
      <c r="G31" s="8"/>
      <c r="H31" s="8"/>
      <c r="I31" s="8"/>
      <c r="J31" s="8"/>
      <c r="K31" s="9"/>
    </row>
    <row r="32" spans="1:16">
      <c r="A32" s="7"/>
      <c r="B32" s="8"/>
      <c r="C32" s="8"/>
      <c r="D32" s="8"/>
      <c r="E32" s="8"/>
      <c r="F32" s="8"/>
      <c r="G32" s="8"/>
      <c r="H32" s="8"/>
      <c r="I32" s="8"/>
      <c r="J32" s="8"/>
      <c r="K32" s="9"/>
    </row>
    <row r="33" spans="1:18">
      <c r="A33" s="7"/>
      <c r="B33" s="8"/>
      <c r="C33" s="8"/>
      <c r="D33" s="8"/>
      <c r="E33" s="8"/>
      <c r="F33" s="8"/>
      <c r="G33" s="8"/>
      <c r="H33" s="8"/>
      <c r="I33" s="8"/>
      <c r="J33" s="8"/>
      <c r="K33" s="9"/>
    </row>
    <row r="34" spans="1:18">
      <c r="A34" s="7"/>
      <c r="B34" s="8"/>
      <c r="C34" s="8"/>
      <c r="D34" s="8"/>
      <c r="E34" s="8"/>
      <c r="F34" s="8"/>
      <c r="G34" s="8"/>
      <c r="H34" s="8"/>
      <c r="I34" s="8"/>
      <c r="J34" s="8"/>
      <c r="K34" s="9"/>
    </row>
    <row r="35" spans="1:18">
      <c r="A35" s="7"/>
      <c r="B35" s="8"/>
      <c r="C35" s="8"/>
      <c r="D35" s="8"/>
      <c r="E35" s="8"/>
      <c r="F35" s="8"/>
      <c r="G35" s="8"/>
      <c r="H35" s="8"/>
      <c r="I35" s="8"/>
      <c r="J35" s="8"/>
      <c r="K35" s="9"/>
      <c r="M35" s="225"/>
      <c r="N35" s="225" t="s">
        <v>171</v>
      </c>
      <c r="O35" s="225" t="s">
        <v>156</v>
      </c>
      <c r="P35" s="225"/>
      <c r="Q35" s="225" t="s">
        <v>167</v>
      </c>
      <c r="R35" s="225"/>
    </row>
    <row r="36" spans="1:18">
      <c r="A36" s="7"/>
      <c r="B36" s="8"/>
      <c r="C36" s="8"/>
      <c r="D36" s="8"/>
      <c r="E36" s="8"/>
      <c r="F36" s="8"/>
      <c r="G36" s="8"/>
      <c r="H36" s="8"/>
      <c r="I36" s="8"/>
      <c r="J36" s="8"/>
      <c r="K36" s="9"/>
      <c r="M36" s="225"/>
      <c r="N36" s="225" t="s">
        <v>400</v>
      </c>
      <c r="O36" s="225" t="s">
        <v>401</v>
      </c>
      <c r="P36" s="225" t="s">
        <v>402</v>
      </c>
      <c r="Q36" s="225" t="s">
        <v>401</v>
      </c>
      <c r="R36" s="225" t="s">
        <v>402</v>
      </c>
    </row>
    <row r="37" spans="1:18">
      <c r="A37" s="7"/>
      <c r="B37" s="8"/>
      <c r="C37" s="8"/>
      <c r="D37" s="8"/>
      <c r="E37" s="8"/>
      <c r="F37" s="8"/>
      <c r="G37" s="8"/>
      <c r="H37" s="8"/>
      <c r="I37" s="8"/>
      <c r="J37" s="8"/>
      <c r="K37" s="9"/>
      <c r="M37" s="225" t="s">
        <v>397</v>
      </c>
      <c r="N37" s="225" t="s">
        <v>165</v>
      </c>
      <c r="O37" s="225" t="s">
        <v>171</v>
      </c>
      <c r="P37" s="225" t="s">
        <v>403</v>
      </c>
      <c r="Q37" s="231" t="s">
        <v>171</v>
      </c>
      <c r="R37" s="225" t="s">
        <v>403</v>
      </c>
    </row>
    <row r="38" spans="1:18">
      <c r="A38" s="7"/>
      <c r="B38" s="8"/>
      <c r="C38" s="8"/>
      <c r="D38" s="8"/>
      <c r="E38" s="8"/>
      <c r="F38" s="8"/>
      <c r="G38" s="8"/>
      <c r="H38" s="8"/>
      <c r="I38" s="8"/>
      <c r="J38" s="8"/>
      <c r="K38" s="9"/>
      <c r="M38" s="113" t="str">
        <f>Worksheet!CS18</f>
        <v>N/A</v>
      </c>
      <c r="N38" s="239" t="str">
        <f>Worksheet!CW18</f>
        <v>N/A</v>
      </c>
      <c r="O38" s="225" t="str">
        <f>Worksheet!CT18</f>
        <v>N/A</v>
      </c>
      <c r="P38" s="240" t="str">
        <f>IF(Worksheet!$BT$6="Yes","N/A",IF(M38="N/A",0,IF(O38&gt;$P$48,$N$48,IF(O38&lt;400,0,$N$47*(O38-400)/1400))))</f>
        <v>N/A</v>
      </c>
      <c r="Q38" s="225" t="str">
        <f>Worksheet!CU18</f>
        <v>N/A</v>
      </c>
      <c r="R38" s="240" t="str">
        <f>IF(Worksheet!$BT$6="Yes","N/A",IF(M38="N/A",0,$N$49*(Q38/600)))</f>
        <v>N/A</v>
      </c>
    </row>
    <row r="39" spans="1:18">
      <c r="A39" s="7"/>
      <c r="B39" s="8"/>
      <c r="C39" s="8"/>
      <c r="D39" s="8"/>
      <c r="E39" s="8"/>
      <c r="F39" s="8"/>
      <c r="G39" s="8"/>
      <c r="H39" s="8"/>
      <c r="I39" s="8"/>
      <c r="J39" s="8"/>
      <c r="K39" s="9"/>
      <c r="M39" s="113" t="str">
        <f>Worksheet!CS19</f>
        <v>N/A</v>
      </c>
      <c r="N39" s="239" t="str">
        <f>Worksheet!CW19</f>
        <v>N/A</v>
      </c>
      <c r="O39" s="225" t="str">
        <f>Worksheet!CT19</f>
        <v>N/A</v>
      </c>
      <c r="P39" s="240" t="str">
        <f>IF(Worksheet!$BT$6="Yes","N/A",IF(M39="N/A",0,IF(O39&gt;$P$48,$N$48,IF(O39&lt;400,0,$N$47*(O39-400)/1400))))</f>
        <v>N/A</v>
      </c>
      <c r="Q39" s="225" t="str">
        <f>Worksheet!CU19</f>
        <v>N/A</v>
      </c>
      <c r="R39" s="240" t="str">
        <f>IF(Worksheet!$BT$6="Yes","N/A",IF(M39="N/A",0,$N$49*(Q39/600)))</f>
        <v>N/A</v>
      </c>
    </row>
    <row r="40" spans="1:18">
      <c r="A40" s="7"/>
      <c r="B40" s="8"/>
      <c r="C40" s="8"/>
      <c r="D40" s="8"/>
      <c r="E40" s="8"/>
      <c r="F40" s="8"/>
      <c r="G40" s="8"/>
      <c r="H40" s="8"/>
      <c r="I40" s="8"/>
      <c r="J40" s="8"/>
      <c r="K40" s="9"/>
      <c r="M40" s="113" t="str">
        <f>Worksheet!CS20</f>
        <v>N/A</v>
      </c>
      <c r="N40" s="239" t="str">
        <f>Worksheet!CW20</f>
        <v>N/A</v>
      </c>
      <c r="O40" s="225" t="str">
        <f>Worksheet!CT20</f>
        <v>N/A</v>
      </c>
      <c r="P40" s="240" t="str">
        <f>IF(Worksheet!$BT$6="Yes","N/A",IF(M40="N/A",0,IF(O40&gt;$P$48,$N$48,IF(O40&lt;400,0,$N$47*(O40-400)/1400))))</f>
        <v>N/A</v>
      </c>
      <c r="Q40" s="225" t="str">
        <f>Worksheet!CU20</f>
        <v>N/A</v>
      </c>
      <c r="R40" s="240" t="str">
        <f>IF(Worksheet!$BT$6="Yes","N/A",IF(M40="N/A",0,$N$49*(Q40/600)))</f>
        <v>N/A</v>
      </c>
    </row>
    <row r="41" spans="1:18">
      <c r="A41" s="7"/>
      <c r="B41" s="8"/>
      <c r="C41" s="8"/>
      <c r="D41" s="8"/>
      <c r="E41" s="8"/>
      <c r="F41" s="8"/>
      <c r="G41" s="8"/>
      <c r="H41" s="8"/>
      <c r="I41" s="8"/>
      <c r="J41" s="8"/>
      <c r="K41" s="9"/>
      <c r="M41" s="113" t="str">
        <f>Worksheet!CS21</f>
        <v>N/A</v>
      </c>
      <c r="N41" s="239" t="str">
        <f>Worksheet!CW21</f>
        <v>N/A</v>
      </c>
      <c r="O41" s="225" t="str">
        <f>Worksheet!CT21</f>
        <v>N/A</v>
      </c>
      <c r="P41" s="240" t="str">
        <f>IF(Worksheet!$BT$6="Yes","N/A",IF(M41="N/A",0,IF(O41&gt;$P$48,$N$48,IF(O41&lt;400,0,$N$47*(O41-400)/1400))))</f>
        <v>N/A</v>
      </c>
      <c r="Q41" s="225" t="str">
        <f>Worksheet!CU21</f>
        <v>N/A</v>
      </c>
      <c r="R41" s="240" t="str">
        <f>IF(Worksheet!$BT$6="Yes","N/A",IF(M41="N/A",0,$N$49*(Q41/600)))</f>
        <v>N/A</v>
      </c>
    </row>
    <row r="42" spans="1:18">
      <c r="A42" s="7"/>
      <c r="B42" s="8"/>
      <c r="C42" s="8"/>
      <c r="D42" s="8"/>
      <c r="E42" s="8"/>
      <c r="F42" s="8"/>
      <c r="G42" s="8"/>
      <c r="H42" s="8"/>
      <c r="I42" s="8"/>
      <c r="J42" s="8"/>
      <c r="K42" s="9"/>
      <c r="M42" s="113" t="str">
        <f>Worksheet!CS22</f>
        <v>N/A</v>
      </c>
      <c r="N42" s="239" t="str">
        <f>Worksheet!CW22</f>
        <v>N/A</v>
      </c>
      <c r="O42" s="225" t="str">
        <f>Worksheet!CT22</f>
        <v>N/A</v>
      </c>
      <c r="P42" s="240" t="str">
        <f>IF(Worksheet!$BT$6="Yes","N/A",IF(M42="N/A",0,IF(O42&gt;$P$48,$N$48,IF(O42&lt;400,0,$N$47*(O42-400)/1400))))</f>
        <v>N/A</v>
      </c>
      <c r="Q42" s="225" t="str">
        <f>Worksheet!CU22</f>
        <v>N/A</v>
      </c>
      <c r="R42" s="240" t="str">
        <f>IF(Worksheet!$BT$6="Yes","N/A",IF(M42="N/A",0,$N$49*(Q42/600)))</f>
        <v>N/A</v>
      </c>
    </row>
    <row r="43" spans="1:18">
      <c r="A43" s="7"/>
      <c r="B43" s="8"/>
      <c r="C43" s="8"/>
      <c r="D43" s="8"/>
      <c r="E43" s="8"/>
      <c r="F43" s="8"/>
      <c r="G43" s="8"/>
      <c r="H43" s="8"/>
      <c r="I43" s="8"/>
      <c r="J43" s="8"/>
      <c r="K43" s="9"/>
      <c r="M43" s="113" t="str">
        <f>Worksheet!CS23</f>
        <v>N/A</v>
      </c>
      <c r="N43" s="239" t="str">
        <f>Worksheet!CW23</f>
        <v>N/A</v>
      </c>
      <c r="O43" s="225" t="str">
        <f>Worksheet!CT23</f>
        <v>N/A</v>
      </c>
      <c r="P43" s="240" t="str">
        <f>IF(Worksheet!$BT$6="Yes","N/A",IF(M43="N/A",0,IF(O43&gt;$P$48,$N$48,IF(O43&lt;400,0,$N$47*(O43-400)/1400))))</f>
        <v>N/A</v>
      </c>
      <c r="Q43" s="225" t="str">
        <f>Worksheet!CU23</f>
        <v>N/A</v>
      </c>
      <c r="R43" s="240" t="str">
        <f>IF(Worksheet!$BT$6="Yes","N/A",IF(M43="N/A",0,$N$49*(Q43/600)))</f>
        <v>N/A</v>
      </c>
    </row>
    <row r="44" spans="1:18">
      <c r="A44" s="7"/>
      <c r="B44" s="8"/>
      <c r="C44" s="8"/>
      <c r="D44" s="8"/>
      <c r="E44" s="8"/>
      <c r="F44" s="8"/>
      <c r="G44" s="8"/>
      <c r="H44" s="8"/>
      <c r="I44" s="8"/>
      <c r="J44" s="8"/>
      <c r="K44" s="9"/>
      <c r="M44" s="113" t="str">
        <f>Worksheet!CS24</f>
        <v>N/A</v>
      </c>
      <c r="N44" s="239" t="str">
        <f>Worksheet!CW24</f>
        <v>N/A</v>
      </c>
      <c r="O44" s="225" t="str">
        <f>Worksheet!CT24</f>
        <v>N/A</v>
      </c>
      <c r="P44" s="240" t="str">
        <f>IF(Worksheet!$BT$6="Yes","N/A",IF(M44="N/A",0,IF(O44&gt;$P$48,$N$48,IF(O44&lt;400,0,$N$47*(O44-400)/1400))))</f>
        <v>N/A</v>
      </c>
      <c r="Q44" s="225" t="str">
        <f>Worksheet!CU24</f>
        <v>N/A</v>
      </c>
      <c r="R44" s="240" t="str">
        <f>IF(Worksheet!$BT$6="Yes","N/A",IF(M44="N/A",0,$N$49*(Q44/600)))</f>
        <v>N/A</v>
      </c>
    </row>
    <row r="45" spans="1:18">
      <c r="A45" s="7"/>
      <c r="B45" s="8"/>
      <c r="C45" s="8"/>
      <c r="D45" s="8"/>
      <c r="E45" s="8"/>
      <c r="F45" s="8"/>
      <c r="G45" s="8"/>
      <c r="H45" s="8"/>
      <c r="I45" s="8"/>
      <c r="J45" s="8"/>
      <c r="K45" s="9"/>
      <c r="M45" s="113" t="str">
        <f>Worksheet!CS25</f>
        <v>N/A</v>
      </c>
      <c r="N45" s="239" t="str">
        <f>Worksheet!CW25</f>
        <v>N/A</v>
      </c>
      <c r="O45" s="225" t="str">
        <f>Worksheet!CT25</f>
        <v>N/A</v>
      </c>
      <c r="P45" s="240" t="str">
        <f>IF(Worksheet!$BT$6="Yes","N/A",IF(M45="N/A",0,IF(O45&gt;$P$48,$N$48,IF(O45&lt;400,0,$N$47*(O45-400)/1400))))</f>
        <v>N/A</v>
      </c>
      <c r="Q45" s="225" t="str">
        <f>Worksheet!CU25</f>
        <v>N/A</v>
      </c>
      <c r="R45" s="240" t="str">
        <f>IF(Worksheet!$BT$6="Yes","N/A",IF(M45="N/A",0,$N$49*(Q45/600)))</f>
        <v>N/A</v>
      </c>
    </row>
    <row r="46" spans="1:18">
      <c r="A46" s="7"/>
      <c r="B46" s="8"/>
      <c r="C46" s="8"/>
      <c r="D46" s="8"/>
      <c r="E46" s="8"/>
      <c r="F46" s="8"/>
      <c r="G46" s="8"/>
      <c r="H46" s="8"/>
      <c r="I46" s="8"/>
      <c r="J46" s="8"/>
      <c r="K46" s="9"/>
    </row>
    <row r="47" spans="1:18">
      <c r="A47" s="7"/>
      <c r="B47" s="8"/>
      <c r="C47" s="8"/>
      <c r="D47" s="8"/>
      <c r="E47" s="8"/>
      <c r="F47" s="8"/>
      <c r="G47" s="8"/>
      <c r="H47" s="8"/>
      <c r="I47" s="8"/>
      <c r="J47" s="8"/>
      <c r="K47" s="9"/>
      <c r="N47">
        <v>5.81</v>
      </c>
      <c r="O47" s="226" t="s">
        <v>405</v>
      </c>
    </row>
    <row r="48" spans="1:18">
      <c r="A48" s="7"/>
      <c r="B48" s="8"/>
      <c r="C48" s="8"/>
      <c r="D48" s="8"/>
      <c r="E48" s="8"/>
      <c r="F48" s="8"/>
      <c r="G48" s="8"/>
      <c r="H48" s="8"/>
      <c r="I48" s="8"/>
      <c r="J48" s="8"/>
      <c r="K48" s="9"/>
      <c r="N48">
        <v>6.47</v>
      </c>
      <c r="O48" s="226" t="s">
        <v>404</v>
      </c>
      <c r="P48" s="230">
        <f>(1400*N48+N47*400)/N47</f>
        <v>1959.0361445783135</v>
      </c>
    </row>
    <row r="49" spans="1:15">
      <c r="A49" s="7"/>
      <c r="B49" s="8"/>
      <c r="C49" s="8"/>
      <c r="D49" s="8"/>
      <c r="E49" s="8"/>
      <c r="F49" s="8"/>
      <c r="G49" s="8"/>
      <c r="H49" s="8"/>
      <c r="I49" s="8"/>
      <c r="J49" s="8"/>
      <c r="K49" s="9"/>
      <c r="N49">
        <v>2.4</v>
      </c>
      <c r="O49" s="226" t="s">
        <v>406</v>
      </c>
    </row>
    <row r="50" spans="1:15">
      <c r="A50" s="7"/>
      <c r="B50" s="8"/>
      <c r="C50" s="8"/>
      <c r="D50" s="8"/>
      <c r="E50" s="8"/>
      <c r="F50" s="8"/>
      <c r="G50" s="8"/>
      <c r="H50" s="8"/>
      <c r="I50" s="8"/>
      <c r="J50" s="8"/>
      <c r="K50" s="9"/>
    </row>
    <row r="51" spans="1:15">
      <c r="A51" s="7"/>
      <c r="B51" s="8"/>
      <c r="C51" s="8"/>
      <c r="D51" s="8"/>
      <c r="E51" s="8"/>
      <c r="F51" s="8"/>
      <c r="G51" s="8"/>
      <c r="H51" s="8"/>
      <c r="I51" s="8"/>
      <c r="J51" s="8"/>
      <c r="K51" s="9"/>
    </row>
    <row r="52" spans="1:15">
      <c r="A52" s="7"/>
      <c r="B52" s="8"/>
      <c r="C52" s="8"/>
      <c r="D52" s="8"/>
      <c r="E52" s="8"/>
      <c r="F52" s="8"/>
      <c r="G52" s="8"/>
      <c r="H52" s="8"/>
      <c r="I52" s="8"/>
      <c r="J52" s="8"/>
      <c r="K52" s="9"/>
    </row>
    <row r="53" spans="1:15">
      <c r="A53" s="7"/>
      <c r="B53" s="8"/>
      <c r="C53" s="8"/>
      <c r="D53" s="8"/>
      <c r="E53" s="8"/>
      <c r="F53" s="8"/>
      <c r="G53" s="8"/>
      <c r="H53" s="8"/>
      <c r="I53" s="8"/>
      <c r="J53" s="8"/>
      <c r="K53" s="9"/>
    </row>
    <row r="54" spans="1:15">
      <c r="A54" s="7"/>
      <c r="B54" s="8"/>
      <c r="C54" s="8"/>
      <c r="D54" s="8"/>
      <c r="E54" s="8"/>
      <c r="F54" s="8"/>
      <c r="G54" s="8"/>
      <c r="H54" s="8"/>
      <c r="I54" s="8"/>
      <c r="J54" s="8"/>
      <c r="K54" s="9"/>
    </row>
    <row r="55" spans="1:15">
      <c r="A55" s="7"/>
      <c r="B55" s="8"/>
      <c r="C55" s="8"/>
      <c r="D55" s="8"/>
      <c r="E55" s="8"/>
      <c r="F55" s="8"/>
      <c r="G55" s="8"/>
      <c r="H55" s="8"/>
      <c r="I55" s="8"/>
      <c r="J55" s="8"/>
      <c r="K55" s="9"/>
    </row>
    <row r="56" spans="1:15">
      <c r="A56" s="7"/>
      <c r="B56" s="8"/>
      <c r="C56" s="8"/>
      <c r="D56" s="8"/>
      <c r="E56" s="8"/>
      <c r="F56" s="8"/>
      <c r="G56" s="8"/>
      <c r="H56" s="8"/>
      <c r="I56" s="8"/>
      <c r="J56" s="8"/>
      <c r="K56" s="9"/>
    </row>
    <row r="57" spans="1:15">
      <c r="A57" s="7"/>
      <c r="B57" s="8"/>
      <c r="C57" s="8"/>
      <c r="D57" s="8"/>
      <c r="E57" s="8"/>
      <c r="F57" s="8"/>
      <c r="G57" s="8"/>
      <c r="H57" s="8"/>
      <c r="I57" s="8"/>
      <c r="J57" s="8"/>
      <c r="K57" s="9"/>
    </row>
    <row r="58" spans="1:15">
      <c r="A58" s="7"/>
      <c r="B58" s="8"/>
      <c r="C58" s="8"/>
      <c r="D58" s="8"/>
      <c r="E58" s="8"/>
      <c r="F58" s="8"/>
      <c r="G58" s="8"/>
      <c r="H58" s="8"/>
      <c r="I58" s="8"/>
      <c r="J58" s="8"/>
      <c r="K58" s="9"/>
    </row>
    <row r="59" spans="1:15">
      <c r="A59" s="7"/>
      <c r="B59" s="8"/>
      <c r="C59" s="8"/>
      <c r="D59" s="8"/>
      <c r="E59" s="8"/>
      <c r="F59" s="8"/>
      <c r="G59" s="8"/>
      <c r="H59" s="8"/>
      <c r="I59" s="8"/>
      <c r="J59" s="8"/>
      <c r="K59" s="9"/>
    </row>
    <row r="60" spans="1:15" ht="13.5" thickBot="1">
      <c r="A60" s="27"/>
      <c r="B60" s="10"/>
      <c r="C60" s="10"/>
      <c r="D60" s="10"/>
      <c r="E60" s="10"/>
      <c r="F60" s="10"/>
      <c r="G60" s="10"/>
      <c r="H60" s="10"/>
      <c r="I60" s="10"/>
      <c r="J60" s="10"/>
      <c r="K60" s="11"/>
    </row>
  </sheetData>
  <sheetProtection password="E0BD" sheet="1" objects="1" scenarios="1"/>
  <phoneticPr fontId="7" type="noConversion"/>
  <conditionalFormatting sqref="N8:N15">
    <cfRule type="cellIs" dxfId="49" priority="7" stopIfTrue="1" operator="between">
      <formula>-10</formula>
      <formula>5</formula>
    </cfRule>
    <cfRule type="cellIs" dxfId="48" priority="5" stopIfTrue="1" operator="greaterThanOrEqual">
      <formula>5</formula>
    </cfRule>
    <cfRule type="cellIs" dxfId="47" priority="6" stopIfTrue="1" operator="lessThanOrEqual">
      <formula>-10</formula>
    </cfRule>
  </conditionalFormatting>
  <conditionalFormatting sqref="N38:N45">
    <cfRule type="cellIs" dxfId="46" priority="2" stopIfTrue="1" operator="greaterThanOrEqual">
      <formula>5</formula>
    </cfRule>
    <cfRule type="cellIs" dxfId="45" priority="3" stopIfTrue="1" operator="lessThanOrEqual">
      <formula>-10</formula>
    </cfRule>
    <cfRule type="cellIs" dxfId="44" priority="4" stopIfTrue="1" operator="between">
      <formula>-10</formula>
      <formula>5</formula>
    </cfRule>
  </conditionalFormatting>
  <conditionalFormatting sqref="N8:N15 N38:N45">
    <cfRule type="cellIs" dxfId="43" priority="1" operator="equal">
      <formula>"N/A"</formula>
    </cfRule>
  </conditionalFormatting>
  <printOptions horizontalCentered="1" verticalCentered="1"/>
  <pageMargins left="0.25" right="0.25" top="0.25" bottom="0.25"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1:R65"/>
  <sheetViews>
    <sheetView zoomScaleNormal="100" workbookViewId="0"/>
  </sheetViews>
  <sheetFormatPr defaultRowHeight="12.75"/>
  <sheetData>
    <row r="1" spans="1:18">
      <c r="A1" s="237" t="str">
        <f>'Input Sheet'!B1</f>
        <v>Form TR-01, Revised 3/10/15</v>
      </c>
      <c r="B1" s="13"/>
      <c r="C1" s="13"/>
      <c r="D1" s="13"/>
      <c r="E1" s="13"/>
      <c r="F1" s="13"/>
      <c r="G1" s="13"/>
      <c r="H1" s="13"/>
      <c r="I1" s="13"/>
      <c r="J1" s="13"/>
      <c r="K1" s="238" t="s">
        <v>304</v>
      </c>
    </row>
    <row r="2" spans="1:18">
      <c r="A2" s="7"/>
      <c r="B2" s="8"/>
      <c r="C2" s="8"/>
      <c r="D2" s="8"/>
      <c r="E2" s="8"/>
      <c r="F2" s="8"/>
      <c r="G2" s="8"/>
      <c r="H2" s="8"/>
      <c r="I2" s="8"/>
      <c r="J2" s="8"/>
      <c r="K2" s="9"/>
    </row>
    <row r="3" spans="1:18">
      <c r="A3" s="7"/>
      <c r="B3" s="8"/>
      <c r="C3" s="8"/>
      <c r="D3" s="8"/>
      <c r="E3" s="8"/>
      <c r="F3" s="8"/>
      <c r="G3" s="8"/>
      <c r="H3" s="8"/>
      <c r="I3" s="8"/>
      <c r="J3" s="8"/>
      <c r="K3" s="9"/>
    </row>
    <row r="4" spans="1:18">
      <c r="A4" s="7"/>
      <c r="B4" s="8"/>
      <c r="C4" s="8"/>
      <c r="D4" s="8"/>
      <c r="E4" s="8"/>
      <c r="F4" s="8"/>
      <c r="G4" s="8"/>
      <c r="H4" s="8"/>
      <c r="I4" s="8"/>
      <c r="J4" s="8"/>
      <c r="K4" s="9"/>
    </row>
    <row r="5" spans="1:18">
      <c r="A5" s="7"/>
      <c r="B5" s="8"/>
      <c r="C5" s="8"/>
      <c r="D5" s="8"/>
      <c r="E5" s="8"/>
      <c r="F5" s="8"/>
      <c r="G5" s="8"/>
      <c r="H5" s="8"/>
      <c r="I5" s="8"/>
      <c r="J5" s="8"/>
      <c r="K5" s="9"/>
      <c r="M5" s="225"/>
      <c r="N5" s="225" t="s">
        <v>171</v>
      </c>
      <c r="O5" s="225" t="s">
        <v>156</v>
      </c>
      <c r="P5" s="225"/>
      <c r="Q5" s="225" t="s">
        <v>167</v>
      </c>
      <c r="R5" s="225"/>
    </row>
    <row r="6" spans="1:18">
      <c r="A6" s="7"/>
      <c r="B6" s="8"/>
      <c r="C6" s="8"/>
      <c r="D6" s="8"/>
      <c r="E6" s="8"/>
      <c r="F6" s="8"/>
      <c r="G6" s="8"/>
      <c r="H6" s="8"/>
      <c r="I6" s="8"/>
      <c r="J6" s="8"/>
      <c r="K6" s="9"/>
      <c r="M6" s="225"/>
      <c r="N6" s="225" t="s">
        <v>400</v>
      </c>
      <c r="O6" s="225" t="s">
        <v>401</v>
      </c>
      <c r="P6" s="225" t="s">
        <v>402</v>
      </c>
      <c r="Q6" s="225" t="s">
        <v>401</v>
      </c>
      <c r="R6" s="225" t="s">
        <v>402</v>
      </c>
    </row>
    <row r="7" spans="1:18">
      <c r="A7" s="7"/>
      <c r="B7" s="8"/>
      <c r="C7" s="8"/>
      <c r="D7" s="8"/>
      <c r="E7" s="8"/>
      <c r="F7" s="8"/>
      <c r="G7" s="8"/>
      <c r="H7" s="8"/>
      <c r="I7" s="8"/>
      <c r="J7" s="8"/>
      <c r="K7" s="9"/>
      <c r="M7" s="225" t="s">
        <v>397</v>
      </c>
      <c r="N7" s="225" t="s">
        <v>165</v>
      </c>
      <c r="O7" s="225" t="s">
        <v>171</v>
      </c>
      <c r="P7" s="225" t="s">
        <v>403</v>
      </c>
      <c r="Q7" s="231" t="s">
        <v>171</v>
      </c>
      <c r="R7" s="225" t="s">
        <v>403</v>
      </c>
    </row>
    <row r="8" spans="1:18">
      <c r="A8" s="7"/>
      <c r="B8" s="8"/>
      <c r="C8" s="8"/>
      <c r="D8" s="8"/>
      <c r="E8" s="8"/>
      <c r="F8" s="8"/>
      <c r="G8" s="8"/>
      <c r="H8" s="8"/>
      <c r="I8" s="8"/>
      <c r="J8" s="8"/>
      <c r="K8" s="9"/>
      <c r="M8" s="113" t="str">
        <f>Worksheet!CA18</f>
        <v>N/A</v>
      </c>
      <c r="N8" s="239" t="str">
        <f>Worksheet!CE18</f>
        <v>N/A</v>
      </c>
      <c r="O8" s="225" t="str">
        <f>Worksheet!CB18</f>
        <v>N/A</v>
      </c>
      <c r="P8" s="240">
        <f>IF(Worksheet!$BT$6="No","N/A",IF(M8="N/A",0,IF(O8&gt;$P$18,$N$18,IF(O8&lt;200,0,$N$17*(O8-200)/800))))</f>
        <v>0</v>
      </c>
      <c r="Q8" s="225" t="str">
        <f>Worksheet!CC18</f>
        <v>N/A</v>
      </c>
      <c r="R8" s="240">
        <f>IF(Worksheet!$BT$6="No","N/A",IF(M8="N/A",0,$N$19*(Q8/400)))</f>
        <v>0</v>
      </c>
    </row>
    <row r="9" spans="1:18">
      <c r="A9" s="7"/>
      <c r="B9" s="8"/>
      <c r="C9" s="8"/>
      <c r="D9" s="8"/>
      <c r="E9" s="8"/>
      <c r="F9" s="8"/>
      <c r="G9" s="8"/>
      <c r="H9" s="8"/>
      <c r="I9" s="8"/>
      <c r="J9" s="8"/>
      <c r="K9" s="9"/>
      <c r="M9" s="113" t="str">
        <f>Worksheet!CA19</f>
        <v>N/A</v>
      </c>
      <c r="N9" s="239" t="str">
        <f>Worksheet!CE19</f>
        <v>N/A</v>
      </c>
      <c r="O9" s="225" t="str">
        <f>Worksheet!CB19</f>
        <v>N/A</v>
      </c>
      <c r="P9" s="240">
        <f>IF(Worksheet!$BT$6="No","N/A",IF(M9="N/A",0,IF(O9&gt;$P$18,$N$18,IF(O9&lt;200,0,$N$17*(O9-200)/800))))</f>
        <v>0</v>
      </c>
      <c r="Q9" s="225" t="str">
        <f>Worksheet!CC19</f>
        <v>N/A</v>
      </c>
      <c r="R9" s="240">
        <f>IF(Worksheet!$BT$6="No","N/A",IF(M9="N/A",0,$N$19*(Q9/400)))</f>
        <v>0</v>
      </c>
    </row>
    <row r="10" spans="1:18">
      <c r="A10" s="7"/>
      <c r="B10" s="8"/>
      <c r="C10" s="8"/>
      <c r="D10" s="8"/>
      <c r="E10" s="8"/>
      <c r="F10" s="8"/>
      <c r="G10" s="8"/>
      <c r="H10" s="8"/>
      <c r="I10" s="8"/>
      <c r="J10" s="8"/>
      <c r="K10" s="9"/>
      <c r="M10" s="113" t="str">
        <f>Worksheet!CA20</f>
        <v>N/A</v>
      </c>
      <c r="N10" s="239" t="str">
        <f>Worksheet!CE20</f>
        <v>N/A</v>
      </c>
      <c r="O10" s="225" t="str">
        <f>Worksheet!CB20</f>
        <v>N/A</v>
      </c>
      <c r="P10" s="240">
        <f>IF(Worksheet!$BT$6="No","N/A",IF(M10="N/A",0,IF(O10&gt;$P$18,$N$18,IF(O10&lt;200,0,$N$17*(O10-200)/800))))</f>
        <v>0</v>
      </c>
      <c r="Q10" s="225" t="str">
        <f>Worksheet!CC20</f>
        <v>N/A</v>
      </c>
      <c r="R10" s="240">
        <f>IF(Worksheet!$BT$6="No","N/A",IF(M10="N/A",0,$N$19*(Q10/400)))</f>
        <v>0</v>
      </c>
    </row>
    <row r="11" spans="1:18">
      <c r="A11" s="7"/>
      <c r="B11" s="8"/>
      <c r="C11" s="8"/>
      <c r="D11" s="8"/>
      <c r="E11" s="8"/>
      <c r="F11" s="8"/>
      <c r="G11" s="8"/>
      <c r="H11" s="8"/>
      <c r="I11" s="8"/>
      <c r="J11" s="8"/>
      <c r="K11" s="9"/>
      <c r="M11" s="113" t="str">
        <f>Worksheet!CA21</f>
        <v>N/A</v>
      </c>
      <c r="N11" s="239" t="str">
        <f>Worksheet!CE21</f>
        <v>N/A</v>
      </c>
      <c r="O11" s="225" t="str">
        <f>Worksheet!CB21</f>
        <v>N/A</v>
      </c>
      <c r="P11" s="240">
        <f>IF(Worksheet!$BT$6="No","N/A",IF(M11="N/A",0,IF(O11&gt;$P$18,$N$18,IF(O11&lt;200,0,$N$17*(O11-200)/800))))</f>
        <v>0</v>
      </c>
      <c r="Q11" s="225" t="str">
        <f>Worksheet!CC21</f>
        <v>N/A</v>
      </c>
      <c r="R11" s="240">
        <f>IF(Worksheet!$BT$6="No","N/A",IF(M11="N/A",0,$N$19*(Q11/400)))</f>
        <v>0</v>
      </c>
    </row>
    <row r="12" spans="1:18">
      <c r="A12" s="7"/>
      <c r="B12" s="8"/>
      <c r="C12" s="8"/>
      <c r="D12" s="8"/>
      <c r="E12" s="8"/>
      <c r="F12" s="8"/>
      <c r="G12" s="8"/>
      <c r="H12" s="8"/>
      <c r="I12" s="8"/>
      <c r="J12" s="8"/>
      <c r="K12" s="9"/>
      <c r="M12" s="113" t="str">
        <f>Worksheet!CA22</f>
        <v>N/A</v>
      </c>
      <c r="N12" s="239" t="str">
        <f>Worksheet!CE22</f>
        <v>N/A</v>
      </c>
      <c r="O12" s="225" t="str">
        <f>Worksheet!CB22</f>
        <v>N/A</v>
      </c>
      <c r="P12" s="240">
        <f>IF(Worksheet!$BT$6="No","N/A",IF(M12="N/A",0,IF(O12&gt;$P$18,$N$18,IF(O12&lt;200,0,$N$17*(O12-200)/800))))</f>
        <v>0</v>
      </c>
      <c r="Q12" s="225" t="str">
        <f>Worksheet!CC22</f>
        <v>N/A</v>
      </c>
      <c r="R12" s="240">
        <f>IF(Worksheet!$BT$6="No","N/A",IF(M12="N/A",0,$N$19*(Q12/400)))</f>
        <v>0</v>
      </c>
    </row>
    <row r="13" spans="1:18">
      <c r="A13" s="7"/>
      <c r="B13" s="8"/>
      <c r="C13" s="8"/>
      <c r="D13" s="8"/>
      <c r="E13" s="8"/>
      <c r="F13" s="8"/>
      <c r="G13" s="8"/>
      <c r="H13" s="8"/>
      <c r="I13" s="8"/>
      <c r="J13" s="8"/>
      <c r="K13" s="9"/>
      <c r="M13" s="113" t="str">
        <f>Worksheet!CA23</f>
        <v>N/A</v>
      </c>
      <c r="N13" s="239" t="str">
        <f>Worksheet!CE23</f>
        <v>N/A</v>
      </c>
      <c r="O13" s="225" t="str">
        <f>Worksheet!CB23</f>
        <v>N/A</v>
      </c>
      <c r="P13" s="240">
        <f>IF(Worksheet!$BT$6="No","N/A",IF(M13="N/A",0,IF(O13&gt;$P$18,$N$18,IF(O13&lt;200,0,$N$17*(O13-200)/800))))</f>
        <v>0</v>
      </c>
      <c r="Q13" s="225" t="str">
        <f>Worksheet!CC23</f>
        <v>N/A</v>
      </c>
      <c r="R13" s="240">
        <f>IF(Worksheet!$BT$6="No","N/A",IF(M13="N/A",0,$N$19*(Q13/400)))</f>
        <v>0</v>
      </c>
    </row>
    <row r="14" spans="1:18">
      <c r="A14" s="7"/>
      <c r="B14" s="8"/>
      <c r="C14" s="8"/>
      <c r="D14" s="8"/>
      <c r="E14" s="8"/>
      <c r="F14" s="8"/>
      <c r="G14" s="8"/>
      <c r="H14" s="8"/>
      <c r="I14" s="8"/>
      <c r="J14" s="8"/>
      <c r="K14" s="9"/>
      <c r="M14" s="113" t="str">
        <f>Worksheet!CA24</f>
        <v>N/A</v>
      </c>
      <c r="N14" s="239" t="str">
        <f>Worksheet!CE24</f>
        <v>N/A</v>
      </c>
      <c r="O14" s="225" t="str">
        <f>Worksheet!CB24</f>
        <v>N/A</v>
      </c>
      <c r="P14" s="240">
        <f>IF(Worksheet!$BT$6="No","N/A",IF(M14="N/A",0,IF(O14&gt;$P$18,$N$18,IF(O14&lt;200,0,$N$17*(O14-200)/800))))</f>
        <v>0</v>
      </c>
      <c r="Q14" s="225" t="str">
        <f>Worksheet!CC24</f>
        <v>N/A</v>
      </c>
      <c r="R14" s="240">
        <f>IF(Worksheet!$BT$6="No","N/A",IF(M14="N/A",0,$N$19*(Q14/400)))</f>
        <v>0</v>
      </c>
    </row>
    <row r="15" spans="1:18">
      <c r="A15" s="7"/>
      <c r="B15" s="8"/>
      <c r="C15" s="8"/>
      <c r="D15" s="8"/>
      <c r="E15" s="8"/>
      <c r="F15" s="8"/>
      <c r="G15" s="8"/>
      <c r="H15" s="8"/>
      <c r="I15" s="8"/>
      <c r="J15" s="8"/>
      <c r="K15" s="9"/>
      <c r="M15" s="113" t="str">
        <f>Worksheet!CA25</f>
        <v>N/A</v>
      </c>
      <c r="N15" s="239" t="str">
        <f>Worksheet!CE25</f>
        <v>N/A</v>
      </c>
      <c r="O15" s="225" t="str">
        <f>Worksheet!CB25</f>
        <v>N/A</v>
      </c>
      <c r="P15" s="240">
        <f>IF(Worksheet!$BT$6="No","N/A",IF(M15="N/A",0,IF(O15&gt;$P$18,$N$18,IF(O15&lt;200,0,$N$17*(O15-200)/800))))</f>
        <v>0</v>
      </c>
      <c r="Q15" s="225" t="str">
        <f>Worksheet!CC25</f>
        <v>N/A</v>
      </c>
      <c r="R15" s="240">
        <f>IF(Worksheet!$BT$6="No","N/A",IF(M15="N/A",0,$N$19*(Q15/400)))</f>
        <v>0</v>
      </c>
    </row>
    <row r="16" spans="1:18">
      <c r="A16" s="7"/>
      <c r="B16" s="8"/>
      <c r="C16" s="8"/>
      <c r="D16" s="8"/>
      <c r="E16" s="8"/>
      <c r="F16" s="8"/>
      <c r="G16" s="8"/>
      <c r="H16" s="8"/>
      <c r="I16" s="8"/>
      <c r="J16" s="8"/>
      <c r="K16" s="9"/>
      <c r="M16" s="226"/>
      <c r="N16" s="226"/>
      <c r="O16" s="226"/>
      <c r="P16" s="226"/>
      <c r="Q16" s="226"/>
      <c r="R16" s="226"/>
    </row>
    <row r="17" spans="1:18">
      <c r="A17" s="7"/>
      <c r="B17" s="8"/>
      <c r="C17" s="8"/>
      <c r="D17" s="8"/>
      <c r="E17" s="8"/>
      <c r="F17" s="8"/>
      <c r="G17" s="8"/>
      <c r="H17" s="8"/>
      <c r="I17" s="8"/>
      <c r="J17" s="8"/>
      <c r="K17" s="9"/>
      <c r="M17" s="226"/>
      <c r="N17" s="226">
        <v>5.33</v>
      </c>
      <c r="O17" s="226" t="s">
        <v>405</v>
      </c>
      <c r="P17" s="226"/>
      <c r="Q17" s="226"/>
      <c r="R17" s="226"/>
    </row>
    <row r="18" spans="1:18">
      <c r="A18" s="7"/>
      <c r="B18" s="8"/>
      <c r="C18" s="8"/>
      <c r="D18" s="8"/>
      <c r="E18" s="8"/>
      <c r="F18" s="8"/>
      <c r="G18" s="8"/>
      <c r="H18" s="8"/>
      <c r="I18" s="8"/>
      <c r="J18" s="8"/>
      <c r="K18" s="9"/>
      <c r="M18" s="232"/>
      <c r="N18" s="226">
        <v>6.27</v>
      </c>
      <c r="O18" s="226" t="s">
        <v>404</v>
      </c>
      <c r="P18" s="230">
        <f>(800*N18+N17*200)/N17</f>
        <v>1141.0881801125704</v>
      </c>
      <c r="Q18" s="226"/>
      <c r="R18" s="226"/>
    </row>
    <row r="19" spans="1:18">
      <c r="A19" s="7"/>
      <c r="B19" s="8"/>
      <c r="C19" s="8"/>
      <c r="D19" s="8"/>
      <c r="E19" s="8"/>
      <c r="F19" s="8"/>
      <c r="G19" s="8"/>
      <c r="H19" s="8"/>
      <c r="I19" s="8"/>
      <c r="J19" s="8"/>
      <c r="K19" s="9"/>
      <c r="M19" s="226"/>
      <c r="N19" s="226">
        <v>2.56</v>
      </c>
      <c r="O19" s="226" t="s">
        <v>406</v>
      </c>
      <c r="P19" s="226"/>
      <c r="Q19" s="226"/>
      <c r="R19" s="226"/>
    </row>
    <row r="20" spans="1:18">
      <c r="A20" s="7"/>
      <c r="B20" s="8"/>
      <c r="C20" s="8"/>
      <c r="D20" s="8"/>
      <c r="E20" s="8"/>
      <c r="F20" s="8"/>
      <c r="G20" s="8"/>
      <c r="H20" s="8"/>
      <c r="I20" s="8"/>
      <c r="J20" s="8"/>
      <c r="K20" s="9"/>
      <c r="M20" s="226"/>
      <c r="N20" s="226"/>
      <c r="O20" s="226"/>
      <c r="P20" s="226"/>
      <c r="Q20" s="226"/>
      <c r="R20" s="226"/>
    </row>
    <row r="21" spans="1:18">
      <c r="A21" s="7"/>
      <c r="B21" s="8"/>
      <c r="C21" s="8"/>
      <c r="D21" s="8"/>
      <c r="E21" s="8"/>
      <c r="F21" s="8"/>
      <c r="G21" s="8"/>
      <c r="H21" s="8"/>
      <c r="I21" s="8"/>
      <c r="J21" s="8"/>
      <c r="K21" s="9"/>
      <c r="M21" s="226"/>
      <c r="N21" s="226"/>
      <c r="O21" s="226"/>
      <c r="P21" s="226"/>
      <c r="Q21" s="226"/>
      <c r="R21" s="226"/>
    </row>
    <row r="22" spans="1:18">
      <c r="A22" s="7"/>
      <c r="B22" s="8"/>
      <c r="C22" s="8"/>
      <c r="D22" s="8"/>
      <c r="E22" s="8"/>
      <c r="F22" s="8"/>
      <c r="G22" s="8"/>
      <c r="H22" s="8"/>
      <c r="I22" s="8"/>
      <c r="J22" s="8"/>
      <c r="K22" s="9"/>
      <c r="M22" s="226"/>
      <c r="N22" s="226"/>
      <c r="O22" s="226"/>
      <c r="P22" s="226"/>
      <c r="Q22" s="226"/>
      <c r="R22" s="226"/>
    </row>
    <row r="23" spans="1:18">
      <c r="A23" s="7"/>
      <c r="B23" s="8"/>
      <c r="C23" s="8"/>
      <c r="D23" s="8"/>
      <c r="E23" s="8"/>
      <c r="F23" s="8"/>
      <c r="G23" s="8"/>
      <c r="H23" s="8"/>
      <c r="I23" s="8"/>
      <c r="J23" s="8"/>
      <c r="K23" s="9"/>
      <c r="M23" s="226"/>
      <c r="N23" s="226"/>
      <c r="O23" s="226"/>
      <c r="P23" s="226"/>
      <c r="Q23" s="226"/>
      <c r="R23" s="226"/>
    </row>
    <row r="24" spans="1:18">
      <c r="A24" s="7"/>
      <c r="B24" s="8"/>
      <c r="C24" s="8"/>
      <c r="D24" s="8"/>
      <c r="E24" s="8"/>
      <c r="F24" s="8"/>
      <c r="G24" s="8"/>
      <c r="H24" s="8"/>
      <c r="I24" s="8"/>
      <c r="J24" s="8"/>
      <c r="K24" s="9"/>
      <c r="M24" s="226"/>
      <c r="N24" s="226"/>
      <c r="O24" s="226"/>
      <c r="P24" s="226"/>
      <c r="Q24" s="226"/>
      <c r="R24" s="226"/>
    </row>
    <row r="25" spans="1:18">
      <c r="A25" s="7"/>
      <c r="B25" s="8"/>
      <c r="C25" s="8"/>
      <c r="D25" s="8"/>
      <c r="E25" s="8"/>
      <c r="F25" s="8"/>
      <c r="G25" s="8"/>
      <c r="H25" s="8"/>
      <c r="I25" s="8"/>
      <c r="J25" s="8"/>
      <c r="K25" s="9"/>
      <c r="M25" s="226"/>
      <c r="N25" s="226"/>
      <c r="O25" s="226"/>
      <c r="P25" s="226"/>
      <c r="Q25" s="226"/>
      <c r="R25" s="226"/>
    </row>
    <row r="26" spans="1:18">
      <c r="A26" s="7"/>
      <c r="B26" s="8"/>
      <c r="C26" s="8"/>
      <c r="D26" s="8"/>
      <c r="E26" s="8"/>
      <c r="F26" s="8"/>
      <c r="G26" s="8"/>
      <c r="H26" s="8"/>
      <c r="I26" s="8"/>
      <c r="J26" s="8"/>
      <c r="K26" s="9"/>
      <c r="M26" s="226"/>
      <c r="N26" s="226"/>
      <c r="O26" s="226"/>
      <c r="P26" s="226"/>
      <c r="Q26" s="226"/>
      <c r="R26" s="226"/>
    </row>
    <row r="27" spans="1:18">
      <c r="A27" s="7"/>
      <c r="B27" s="8"/>
      <c r="C27" s="8"/>
      <c r="D27" s="8"/>
      <c r="E27" s="8"/>
      <c r="F27" s="8"/>
      <c r="G27" s="8"/>
      <c r="H27" s="8"/>
      <c r="I27" s="8"/>
      <c r="J27" s="8"/>
      <c r="K27" s="9"/>
      <c r="M27" s="226"/>
      <c r="N27" s="226"/>
      <c r="O27" s="226"/>
      <c r="P27" s="226"/>
      <c r="Q27" s="226"/>
      <c r="R27" s="226"/>
    </row>
    <row r="28" spans="1:18">
      <c r="A28" s="7"/>
      <c r="B28" s="8"/>
      <c r="C28" s="8"/>
      <c r="D28" s="8"/>
      <c r="E28" s="8"/>
      <c r="F28" s="8"/>
      <c r="G28" s="8"/>
      <c r="H28" s="8"/>
      <c r="I28" s="8"/>
      <c r="J28" s="8"/>
      <c r="K28" s="9"/>
      <c r="M28" s="226"/>
      <c r="N28" s="226"/>
      <c r="O28" s="226"/>
      <c r="P28" s="226"/>
      <c r="Q28" s="226"/>
      <c r="R28" s="226"/>
    </row>
    <row r="29" spans="1:18">
      <c r="A29" s="7"/>
      <c r="B29" s="8"/>
      <c r="C29" s="8"/>
      <c r="D29" s="8"/>
      <c r="E29" s="8"/>
      <c r="F29" s="8"/>
      <c r="G29" s="8"/>
      <c r="H29" s="8"/>
      <c r="I29" s="8"/>
      <c r="J29" s="8"/>
      <c r="K29" s="9"/>
      <c r="M29" s="226"/>
      <c r="N29" s="226"/>
      <c r="O29" s="226"/>
      <c r="P29" s="226"/>
      <c r="Q29" s="226"/>
      <c r="R29" s="226"/>
    </row>
    <row r="30" spans="1:18">
      <c r="A30" s="7"/>
      <c r="B30" s="8"/>
      <c r="C30" s="8"/>
      <c r="D30" s="8"/>
      <c r="E30" s="8"/>
      <c r="F30" s="8"/>
      <c r="G30" s="8"/>
      <c r="H30" s="8"/>
      <c r="I30" s="8"/>
      <c r="J30" s="8"/>
      <c r="K30" s="9"/>
      <c r="M30" s="226"/>
      <c r="N30" s="226"/>
      <c r="O30" s="226"/>
      <c r="P30" s="226"/>
      <c r="Q30" s="226"/>
      <c r="R30" s="226"/>
    </row>
    <row r="31" spans="1:18">
      <c r="A31" s="7"/>
      <c r="B31" s="8"/>
      <c r="C31" s="8"/>
      <c r="D31" s="8"/>
      <c r="E31" s="8"/>
      <c r="F31" s="8"/>
      <c r="G31" s="8"/>
      <c r="H31" s="8"/>
      <c r="I31" s="8"/>
      <c r="J31" s="8"/>
      <c r="K31" s="9"/>
      <c r="M31" s="226"/>
      <c r="N31" s="226"/>
      <c r="O31" s="226"/>
      <c r="P31" s="226"/>
      <c r="Q31" s="226"/>
      <c r="R31" s="226"/>
    </row>
    <row r="32" spans="1:18">
      <c r="A32" s="7"/>
      <c r="B32" s="8"/>
      <c r="C32" s="8"/>
      <c r="D32" s="8"/>
      <c r="E32" s="8"/>
      <c r="F32" s="8"/>
      <c r="G32" s="8"/>
      <c r="H32" s="8"/>
      <c r="I32" s="8"/>
      <c r="J32" s="8"/>
      <c r="K32" s="9"/>
      <c r="M32" s="226"/>
      <c r="N32" s="226"/>
      <c r="O32" s="226"/>
      <c r="P32" s="226"/>
      <c r="Q32" s="226"/>
      <c r="R32" s="226"/>
    </row>
    <row r="33" spans="1:18">
      <c r="A33" s="7"/>
      <c r="B33" s="8"/>
      <c r="C33" s="8"/>
      <c r="D33" s="8"/>
      <c r="E33" s="8"/>
      <c r="F33" s="8"/>
      <c r="G33" s="8"/>
      <c r="H33" s="8"/>
      <c r="I33" s="8"/>
      <c r="J33" s="8"/>
      <c r="K33" s="9"/>
      <c r="M33" s="226"/>
      <c r="N33" s="226"/>
      <c r="O33" s="226"/>
      <c r="P33" s="226"/>
      <c r="Q33" s="226"/>
      <c r="R33" s="226"/>
    </row>
    <row r="34" spans="1:18">
      <c r="A34" s="7"/>
      <c r="B34" s="8"/>
      <c r="C34" s="8"/>
      <c r="D34" s="8"/>
      <c r="E34" s="8"/>
      <c r="F34" s="8"/>
      <c r="G34" s="8"/>
      <c r="H34" s="8"/>
      <c r="I34" s="8"/>
      <c r="J34" s="8"/>
      <c r="K34" s="9"/>
      <c r="M34" s="226"/>
      <c r="N34" s="226"/>
      <c r="O34" s="226"/>
      <c r="P34" s="226"/>
      <c r="Q34" s="226"/>
      <c r="R34" s="226"/>
    </row>
    <row r="35" spans="1:18">
      <c r="A35" s="7"/>
      <c r="B35" s="8"/>
      <c r="C35" s="8"/>
      <c r="D35" s="8"/>
      <c r="E35" s="8"/>
      <c r="F35" s="8"/>
      <c r="G35" s="8"/>
      <c r="H35" s="8"/>
      <c r="I35" s="8"/>
      <c r="J35" s="8"/>
      <c r="K35" s="9"/>
      <c r="M35" s="225"/>
      <c r="N35" s="225" t="s">
        <v>171</v>
      </c>
      <c r="O35" s="225" t="s">
        <v>156</v>
      </c>
      <c r="P35" s="225"/>
      <c r="Q35" s="225" t="s">
        <v>167</v>
      </c>
      <c r="R35" s="225"/>
    </row>
    <row r="36" spans="1:18">
      <c r="A36" s="7"/>
      <c r="B36" s="8"/>
      <c r="C36" s="8"/>
      <c r="D36" s="8"/>
      <c r="E36" s="8"/>
      <c r="F36" s="8"/>
      <c r="G36" s="8"/>
      <c r="H36" s="8"/>
      <c r="I36" s="8"/>
      <c r="J36" s="8"/>
      <c r="K36" s="9"/>
      <c r="M36" s="225"/>
      <c r="N36" s="225" t="s">
        <v>400</v>
      </c>
      <c r="O36" s="225" t="s">
        <v>401</v>
      </c>
      <c r="P36" s="225" t="s">
        <v>402</v>
      </c>
      <c r="Q36" s="225" t="s">
        <v>401</v>
      </c>
      <c r="R36" s="225" t="s">
        <v>402</v>
      </c>
    </row>
    <row r="37" spans="1:18">
      <c r="A37" s="7"/>
      <c r="B37" s="8"/>
      <c r="C37" s="8"/>
      <c r="D37" s="8"/>
      <c r="E37" s="8"/>
      <c r="F37" s="8"/>
      <c r="G37" s="8"/>
      <c r="H37" s="8"/>
      <c r="I37" s="8"/>
      <c r="J37" s="8"/>
      <c r="K37" s="9"/>
      <c r="M37" s="225" t="s">
        <v>397</v>
      </c>
      <c r="N37" s="225" t="s">
        <v>165</v>
      </c>
      <c r="O37" s="225" t="s">
        <v>171</v>
      </c>
      <c r="P37" s="225" t="s">
        <v>403</v>
      </c>
      <c r="Q37" s="231" t="s">
        <v>171</v>
      </c>
      <c r="R37" s="225" t="s">
        <v>403</v>
      </c>
    </row>
    <row r="38" spans="1:18">
      <c r="A38" s="7"/>
      <c r="B38" s="8"/>
      <c r="C38" s="8"/>
      <c r="D38" s="8"/>
      <c r="E38" s="8"/>
      <c r="F38" s="8"/>
      <c r="G38" s="8"/>
      <c r="H38" s="8"/>
      <c r="I38" s="8"/>
      <c r="J38" s="8"/>
      <c r="K38" s="9"/>
      <c r="M38" s="113" t="str">
        <f>Worksheet!CS18</f>
        <v>N/A</v>
      </c>
      <c r="N38" s="239" t="str">
        <f>Worksheet!CW18</f>
        <v>N/A</v>
      </c>
      <c r="O38" s="225" t="str">
        <f>Worksheet!CT18</f>
        <v>N/A</v>
      </c>
      <c r="P38" s="240">
        <f>IF(Worksheet!$BT$6="No","N/A",IF(M38="N/A",0,IF(O38&gt;$P$48,$N$48,IF(O38&lt;300,0,$N$47*(O38-300)/1000))))</f>
        <v>0</v>
      </c>
      <c r="Q38" s="225" t="str">
        <f>Worksheet!CU18</f>
        <v>N/A</v>
      </c>
      <c r="R38" s="240">
        <f>IF(Worksheet!$BT$6="No","N/A",IF(M38="N/A",0,$N$49*(Q38/500)))</f>
        <v>0</v>
      </c>
    </row>
    <row r="39" spans="1:18">
      <c r="A39" s="7"/>
      <c r="B39" s="8"/>
      <c r="C39" s="8"/>
      <c r="D39" s="8"/>
      <c r="E39" s="8"/>
      <c r="F39" s="8"/>
      <c r="G39" s="8"/>
      <c r="H39" s="8"/>
      <c r="I39" s="8"/>
      <c r="J39" s="8"/>
      <c r="K39" s="9"/>
      <c r="M39" s="113" t="str">
        <f>Worksheet!CS19</f>
        <v>N/A</v>
      </c>
      <c r="N39" s="239" t="str">
        <f>Worksheet!CW19</f>
        <v>N/A</v>
      </c>
      <c r="O39" s="225" t="str">
        <f>Worksheet!CT19</f>
        <v>N/A</v>
      </c>
      <c r="P39" s="240">
        <f>IF(Worksheet!$BT$6="No","N/A",IF(M39="N/A",0,IF(O39&gt;$P$48,$N$48,IF(O39&lt;300,0,$N$47*(O39-300)/1000))))</f>
        <v>0</v>
      </c>
      <c r="Q39" s="225" t="str">
        <f>Worksheet!CU19</f>
        <v>N/A</v>
      </c>
      <c r="R39" s="240">
        <f>IF(Worksheet!$BT$6="No","N/A",IF(M39="N/A",0,$N$49*(Q39/500)))</f>
        <v>0</v>
      </c>
    </row>
    <row r="40" spans="1:18">
      <c r="A40" s="7"/>
      <c r="B40" s="8"/>
      <c r="C40" s="8"/>
      <c r="D40" s="8"/>
      <c r="E40" s="8"/>
      <c r="F40" s="8"/>
      <c r="G40" s="8"/>
      <c r="H40" s="8"/>
      <c r="I40" s="8"/>
      <c r="J40" s="8"/>
      <c r="K40" s="9"/>
      <c r="M40" s="113" t="str">
        <f>Worksheet!CS20</f>
        <v>N/A</v>
      </c>
      <c r="N40" s="239" t="str">
        <f>Worksheet!CW20</f>
        <v>N/A</v>
      </c>
      <c r="O40" s="225" t="str">
        <f>Worksheet!CT20</f>
        <v>N/A</v>
      </c>
      <c r="P40" s="240">
        <f>IF(Worksheet!$BT$6="No","N/A",IF(M40="N/A",0,IF(O40&gt;$P$48,$N$48,IF(O40&lt;300,0,$N$47*(O40-300)/1000))))</f>
        <v>0</v>
      </c>
      <c r="Q40" s="225" t="str">
        <f>Worksheet!CU20</f>
        <v>N/A</v>
      </c>
      <c r="R40" s="240">
        <f>IF(Worksheet!$BT$6="No","N/A",IF(M40="N/A",0,$N$49*(Q40/500)))</f>
        <v>0</v>
      </c>
    </row>
    <row r="41" spans="1:18">
      <c r="A41" s="7"/>
      <c r="B41" s="8"/>
      <c r="C41" s="8"/>
      <c r="D41" s="8"/>
      <c r="E41" s="8"/>
      <c r="F41" s="8"/>
      <c r="G41" s="8"/>
      <c r="H41" s="8"/>
      <c r="I41" s="8"/>
      <c r="J41" s="8"/>
      <c r="K41" s="9"/>
      <c r="M41" s="113" t="str">
        <f>Worksheet!CS21</f>
        <v>N/A</v>
      </c>
      <c r="N41" s="239" t="str">
        <f>Worksheet!CW21</f>
        <v>N/A</v>
      </c>
      <c r="O41" s="225" t="str">
        <f>Worksheet!CT21</f>
        <v>N/A</v>
      </c>
      <c r="P41" s="240">
        <f>IF(Worksheet!$BT$6="No","N/A",IF(M41="N/A",0,IF(O41&gt;$P$48,$N$48,IF(O41&lt;300,0,$N$47*(O41-300)/1000))))</f>
        <v>0</v>
      </c>
      <c r="Q41" s="225" t="str">
        <f>Worksheet!CU21</f>
        <v>N/A</v>
      </c>
      <c r="R41" s="240">
        <f>IF(Worksheet!$BT$6="No","N/A",IF(M41="N/A",0,$N$49*(Q41/500)))</f>
        <v>0</v>
      </c>
    </row>
    <row r="42" spans="1:18">
      <c r="A42" s="7"/>
      <c r="B42" s="8"/>
      <c r="C42" s="8"/>
      <c r="D42" s="8"/>
      <c r="E42" s="8"/>
      <c r="F42" s="8"/>
      <c r="G42" s="8"/>
      <c r="H42" s="8"/>
      <c r="I42" s="8"/>
      <c r="J42" s="8"/>
      <c r="K42" s="9"/>
      <c r="M42" s="113" t="str">
        <f>Worksheet!CS22</f>
        <v>N/A</v>
      </c>
      <c r="N42" s="239" t="str">
        <f>Worksheet!CW22</f>
        <v>N/A</v>
      </c>
      <c r="O42" s="225" t="str">
        <f>Worksheet!CT22</f>
        <v>N/A</v>
      </c>
      <c r="P42" s="240">
        <f>IF(Worksheet!$BT$6="No","N/A",IF(M42="N/A",0,IF(O42&gt;$P$48,$N$48,IF(O42&lt;300,0,$N$47*(O42-300)/1000))))</f>
        <v>0</v>
      </c>
      <c r="Q42" s="225" t="str">
        <f>Worksheet!CU22</f>
        <v>N/A</v>
      </c>
      <c r="R42" s="240">
        <f>IF(Worksheet!$BT$6="No","N/A",IF(M42="N/A",0,$N$49*(Q42/500)))</f>
        <v>0</v>
      </c>
    </row>
    <row r="43" spans="1:18">
      <c r="A43" s="7"/>
      <c r="B43" s="8"/>
      <c r="C43" s="8"/>
      <c r="D43" s="8"/>
      <c r="E43" s="8"/>
      <c r="F43" s="8"/>
      <c r="G43" s="8"/>
      <c r="H43" s="8"/>
      <c r="I43" s="8"/>
      <c r="J43" s="8"/>
      <c r="K43" s="9"/>
      <c r="M43" s="113" t="str">
        <f>Worksheet!CS23</f>
        <v>N/A</v>
      </c>
      <c r="N43" s="239" t="str">
        <f>Worksheet!CW23</f>
        <v>N/A</v>
      </c>
      <c r="O43" s="225" t="str">
        <f>Worksheet!CT23</f>
        <v>N/A</v>
      </c>
      <c r="P43" s="240">
        <f>IF(Worksheet!$BT$6="No","N/A",IF(M43="N/A",0,IF(O43&gt;$P$48,$N$48,IF(O43&lt;300,0,$N$47*(O43-300)/1000))))</f>
        <v>0</v>
      </c>
      <c r="Q43" s="225" t="str">
        <f>Worksheet!CU23</f>
        <v>N/A</v>
      </c>
      <c r="R43" s="240">
        <f>IF(Worksheet!$BT$6="No","N/A",IF(M43="N/A",0,$N$49*(Q43/500)))</f>
        <v>0</v>
      </c>
    </row>
    <row r="44" spans="1:18">
      <c r="A44" s="7"/>
      <c r="B44" s="8"/>
      <c r="C44" s="8"/>
      <c r="D44" s="8"/>
      <c r="E44" s="8"/>
      <c r="F44" s="8"/>
      <c r="G44" s="8"/>
      <c r="H44" s="8"/>
      <c r="I44" s="8"/>
      <c r="J44" s="8"/>
      <c r="K44" s="9"/>
      <c r="M44" s="113" t="str">
        <f>Worksheet!CS24</f>
        <v>N/A</v>
      </c>
      <c r="N44" s="239" t="str">
        <f>Worksheet!CW24</f>
        <v>N/A</v>
      </c>
      <c r="O44" s="225" t="str">
        <f>Worksheet!CT24</f>
        <v>N/A</v>
      </c>
      <c r="P44" s="240">
        <f>IF(Worksheet!$BT$6="No","N/A",IF(M44="N/A",0,IF(O44&gt;$P$48,$N$48,IF(O44&lt;300,0,$N$47*(O44-300)/1000))))</f>
        <v>0</v>
      </c>
      <c r="Q44" s="225" t="str">
        <f>Worksheet!CU24</f>
        <v>N/A</v>
      </c>
      <c r="R44" s="240">
        <f>IF(Worksheet!$BT$6="No","N/A",IF(M44="N/A",0,$N$49*(Q44/500)))</f>
        <v>0</v>
      </c>
    </row>
    <row r="45" spans="1:18">
      <c r="A45" s="7"/>
      <c r="B45" s="8"/>
      <c r="C45" s="8"/>
      <c r="D45" s="8"/>
      <c r="E45" s="8"/>
      <c r="F45" s="8"/>
      <c r="G45" s="8"/>
      <c r="H45" s="8"/>
      <c r="I45" s="8"/>
      <c r="J45" s="8"/>
      <c r="K45" s="9"/>
      <c r="M45" s="113" t="str">
        <f>Worksheet!CS25</f>
        <v>N/A</v>
      </c>
      <c r="N45" s="239" t="str">
        <f>Worksheet!CW25</f>
        <v>N/A</v>
      </c>
      <c r="O45" s="225" t="str">
        <f>Worksheet!CT25</f>
        <v>N/A</v>
      </c>
      <c r="P45" s="240">
        <f>IF(Worksheet!$BT$6="No","N/A",IF(M45="N/A",0,IF(O45&gt;$P$48,$N$48,IF(O45&lt;300,0,$N$47*(O45-300)/1000))))</f>
        <v>0</v>
      </c>
      <c r="Q45" s="225" t="str">
        <f>Worksheet!CU25</f>
        <v>N/A</v>
      </c>
      <c r="R45" s="240">
        <f>IF(Worksheet!$BT$6="No","N/A",IF(M45="N/A",0,$N$49*(Q45/500)))</f>
        <v>0</v>
      </c>
    </row>
    <row r="46" spans="1:18">
      <c r="A46" s="7"/>
      <c r="B46" s="8"/>
      <c r="C46" s="8"/>
      <c r="D46" s="8"/>
      <c r="E46" s="8"/>
      <c r="F46" s="8"/>
      <c r="G46" s="8"/>
      <c r="H46" s="8"/>
      <c r="I46" s="8"/>
      <c r="J46" s="8"/>
      <c r="K46" s="9"/>
      <c r="M46" s="226"/>
      <c r="N46" s="226"/>
      <c r="O46" s="226"/>
      <c r="P46" s="226"/>
      <c r="Q46" s="226"/>
      <c r="R46" s="226"/>
    </row>
    <row r="47" spans="1:18">
      <c r="A47" s="7"/>
      <c r="B47" s="8"/>
      <c r="C47" s="8"/>
      <c r="D47" s="8"/>
      <c r="E47" s="8"/>
      <c r="F47" s="8"/>
      <c r="G47" s="8"/>
      <c r="H47" s="8"/>
      <c r="I47" s="8"/>
      <c r="J47" s="8"/>
      <c r="K47" s="9"/>
      <c r="M47" s="226"/>
      <c r="N47" s="226">
        <v>5.05</v>
      </c>
      <c r="O47" s="226" t="s">
        <v>405</v>
      </c>
      <c r="P47" s="226"/>
      <c r="Q47" s="226"/>
      <c r="R47" s="226"/>
    </row>
    <row r="48" spans="1:18">
      <c r="A48" s="7"/>
      <c r="B48" s="8"/>
      <c r="C48" s="8"/>
      <c r="D48" s="8"/>
      <c r="E48" s="8"/>
      <c r="F48" s="8"/>
      <c r="G48" s="8"/>
      <c r="H48" s="8"/>
      <c r="I48" s="8"/>
      <c r="J48" s="8"/>
      <c r="K48" s="9"/>
      <c r="M48" s="226"/>
      <c r="N48" s="226">
        <v>6.42</v>
      </c>
      <c r="O48" s="226" t="s">
        <v>404</v>
      </c>
      <c r="P48" s="230">
        <f>(1000*N48+N47*300)/N47</f>
        <v>1571.2871287128714</v>
      </c>
      <c r="Q48" s="226"/>
      <c r="R48" s="226"/>
    </row>
    <row r="49" spans="1:18">
      <c r="A49" s="7"/>
      <c r="B49" s="8"/>
      <c r="C49" s="8"/>
      <c r="D49" s="8"/>
      <c r="E49" s="8"/>
      <c r="F49" s="8"/>
      <c r="G49" s="8"/>
      <c r="H49" s="8"/>
      <c r="I49" s="8"/>
      <c r="J49" s="8"/>
      <c r="K49" s="9"/>
      <c r="M49" s="226"/>
      <c r="N49" s="226">
        <v>2.44</v>
      </c>
      <c r="O49" s="226" t="s">
        <v>406</v>
      </c>
      <c r="P49" s="226"/>
      <c r="Q49" s="226"/>
      <c r="R49" s="226"/>
    </row>
    <row r="50" spans="1:18">
      <c r="A50" s="7"/>
      <c r="B50" s="8"/>
      <c r="C50" s="8"/>
      <c r="D50" s="8"/>
      <c r="E50" s="8"/>
      <c r="F50" s="8"/>
      <c r="G50" s="8"/>
      <c r="H50" s="8"/>
      <c r="I50" s="8"/>
      <c r="J50" s="8"/>
      <c r="K50" s="9"/>
    </row>
    <row r="51" spans="1:18">
      <c r="A51" s="7"/>
      <c r="B51" s="8"/>
      <c r="C51" s="8"/>
      <c r="D51" s="8"/>
      <c r="E51" s="8"/>
      <c r="F51" s="8"/>
      <c r="G51" s="8"/>
      <c r="H51" s="8"/>
      <c r="I51" s="8"/>
      <c r="J51" s="8"/>
      <c r="K51" s="9"/>
    </row>
    <row r="52" spans="1:18">
      <c r="A52" s="7"/>
      <c r="B52" s="8"/>
      <c r="C52" s="8"/>
      <c r="D52" s="8"/>
      <c r="E52" s="8"/>
      <c r="F52" s="8"/>
      <c r="G52" s="8"/>
      <c r="H52" s="8"/>
      <c r="I52" s="8"/>
      <c r="J52" s="8"/>
      <c r="K52" s="9"/>
    </row>
    <row r="53" spans="1:18">
      <c r="A53" s="7"/>
      <c r="B53" s="8"/>
      <c r="C53" s="8"/>
      <c r="D53" s="8"/>
      <c r="E53" s="8"/>
      <c r="F53" s="8"/>
      <c r="G53" s="8"/>
      <c r="H53" s="8"/>
      <c r="I53" s="8"/>
      <c r="J53" s="8"/>
      <c r="K53" s="9"/>
    </row>
    <row r="54" spans="1:18">
      <c r="A54" s="7"/>
      <c r="B54" s="8"/>
      <c r="C54" s="8"/>
      <c r="D54" s="8"/>
      <c r="E54" s="8"/>
      <c r="F54" s="8"/>
      <c r="G54" s="8"/>
      <c r="H54" s="8"/>
      <c r="I54" s="8"/>
      <c r="J54" s="8"/>
      <c r="K54" s="9"/>
    </row>
    <row r="55" spans="1:18">
      <c r="A55" s="7"/>
      <c r="B55" s="8"/>
      <c r="C55" s="8"/>
      <c r="D55" s="8"/>
      <c r="E55" s="8"/>
      <c r="F55" s="8"/>
      <c r="G55" s="8"/>
      <c r="H55" s="8"/>
      <c r="I55" s="8"/>
      <c r="J55" s="8"/>
      <c r="K55" s="9"/>
    </row>
    <row r="56" spans="1:18">
      <c r="A56" s="7"/>
      <c r="B56" s="8"/>
      <c r="C56" s="8"/>
      <c r="D56" s="8"/>
      <c r="E56" s="8"/>
      <c r="F56" s="8"/>
      <c r="G56" s="8"/>
      <c r="H56" s="8"/>
      <c r="I56" s="8"/>
      <c r="J56" s="8"/>
      <c r="K56" s="9"/>
    </row>
    <row r="57" spans="1:18">
      <c r="A57" s="7"/>
      <c r="B57" s="8"/>
      <c r="C57" s="8"/>
      <c r="D57" s="8"/>
      <c r="E57" s="8"/>
      <c r="F57" s="8"/>
      <c r="G57" s="8"/>
      <c r="H57" s="8"/>
      <c r="I57" s="8"/>
      <c r="J57" s="8"/>
      <c r="K57" s="9"/>
    </row>
    <row r="58" spans="1:18">
      <c r="A58" s="7"/>
      <c r="B58" s="8"/>
      <c r="C58" s="8"/>
      <c r="D58" s="8"/>
      <c r="E58" s="8"/>
      <c r="F58" s="8"/>
      <c r="G58" s="8"/>
      <c r="H58" s="8"/>
      <c r="I58" s="8"/>
      <c r="J58" s="8"/>
      <c r="K58" s="9"/>
    </row>
    <row r="59" spans="1:18">
      <c r="A59" s="7"/>
      <c r="B59" s="8"/>
      <c r="C59" s="8"/>
      <c r="D59" s="8"/>
      <c r="E59" s="8"/>
      <c r="F59" s="8"/>
      <c r="G59" s="8"/>
      <c r="H59" s="8"/>
      <c r="I59" s="8"/>
      <c r="J59" s="8"/>
      <c r="K59" s="9"/>
    </row>
    <row r="60" spans="1:18">
      <c r="A60" s="7"/>
      <c r="B60" s="8"/>
      <c r="C60" s="8"/>
      <c r="D60" s="8"/>
      <c r="E60" s="8"/>
      <c r="F60" s="8"/>
      <c r="G60" s="8"/>
      <c r="H60" s="8"/>
      <c r="I60" s="8"/>
      <c r="J60" s="8"/>
      <c r="K60" s="9"/>
    </row>
    <row r="61" spans="1:18" ht="13.5" thickBot="1">
      <c r="A61" s="27"/>
      <c r="B61" s="10"/>
      <c r="C61" s="10"/>
      <c r="D61" s="10"/>
      <c r="E61" s="10"/>
      <c r="F61" s="10"/>
      <c r="G61" s="10"/>
      <c r="H61" s="10"/>
      <c r="I61" s="10"/>
      <c r="J61" s="10"/>
      <c r="K61" s="11"/>
    </row>
    <row r="62" spans="1:18">
      <c r="A62" s="8"/>
      <c r="B62" s="8"/>
      <c r="C62" s="8"/>
      <c r="D62" s="8"/>
      <c r="E62" s="8"/>
      <c r="F62" s="8"/>
      <c r="G62" s="8"/>
      <c r="H62" s="8"/>
      <c r="I62" s="8"/>
      <c r="J62" s="8"/>
      <c r="K62" s="8"/>
      <c r="L62" s="8"/>
    </row>
    <row r="63" spans="1:18">
      <c r="A63" s="8"/>
      <c r="B63" s="8"/>
      <c r="C63" s="8"/>
      <c r="D63" s="8"/>
      <c r="E63" s="8"/>
      <c r="F63" s="8"/>
      <c r="G63" s="8"/>
      <c r="H63" s="8"/>
      <c r="I63" s="8"/>
      <c r="J63" s="8"/>
      <c r="K63" s="8"/>
      <c r="L63" s="8"/>
    </row>
    <row r="64" spans="1:18">
      <c r="A64" s="8"/>
      <c r="B64" s="8"/>
      <c r="C64" s="8"/>
      <c r="D64" s="8"/>
      <c r="E64" s="8"/>
      <c r="F64" s="8"/>
      <c r="G64" s="8"/>
      <c r="H64" s="8"/>
      <c r="I64" s="8"/>
      <c r="J64" s="8"/>
      <c r="K64" s="8"/>
      <c r="L64" s="8"/>
    </row>
    <row r="65" spans="1:12">
      <c r="A65" s="8"/>
      <c r="B65" s="8"/>
      <c r="C65" s="8"/>
      <c r="D65" s="8"/>
      <c r="E65" s="8"/>
      <c r="F65" s="8"/>
      <c r="G65" s="8"/>
      <c r="H65" s="8"/>
      <c r="I65" s="8"/>
      <c r="J65" s="8"/>
      <c r="K65" s="8"/>
      <c r="L65" s="8"/>
    </row>
  </sheetData>
  <sheetProtection algorithmName="SHA-512" hashValue="W+sJjZwCOc/HDbL5c9Hr5DQsTEl5sWliKZPaPSMJlszxtNcdyDx6mS2ZkEbRKLm6S35B5sE3nAkgM01fxUMCxw==" saltValue="u2qyjPRKl2YSWOin9vebPQ==" spinCount="100000" sheet="1" objects="1" scenarios="1"/>
  <phoneticPr fontId="7" type="noConversion"/>
  <conditionalFormatting sqref="N8:N15">
    <cfRule type="cellIs" dxfId="42" priority="5" stopIfTrue="1" operator="greaterThanOrEqual">
      <formula>5</formula>
    </cfRule>
    <cfRule type="cellIs" dxfId="41" priority="6" stopIfTrue="1" operator="lessThanOrEqual">
      <formula>-10</formula>
    </cfRule>
    <cfRule type="cellIs" dxfId="40" priority="7" stopIfTrue="1" operator="between">
      <formula>-10</formula>
      <formula>5</formula>
    </cfRule>
  </conditionalFormatting>
  <conditionalFormatting sqref="N38:N45">
    <cfRule type="cellIs" dxfId="39" priority="2" stopIfTrue="1" operator="greaterThanOrEqual">
      <formula>5</formula>
    </cfRule>
    <cfRule type="cellIs" dxfId="38" priority="3" stopIfTrue="1" operator="lessThanOrEqual">
      <formula>-10</formula>
    </cfRule>
    <cfRule type="cellIs" dxfId="37" priority="4" stopIfTrue="1" operator="between">
      <formula>-10</formula>
      <formula>5</formula>
    </cfRule>
  </conditionalFormatting>
  <conditionalFormatting sqref="N8:N15 N38:N45">
    <cfRule type="cellIs" dxfId="36" priority="1" operator="equal">
      <formula>"N/A"</formula>
    </cfRule>
  </conditionalFormatting>
  <printOptions horizontalCentered="1" verticalCentered="1"/>
  <pageMargins left="0.25" right="0.25" top="0.25" bottom="0.25"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A1:R60"/>
  <sheetViews>
    <sheetView zoomScaleNormal="100" workbookViewId="0"/>
  </sheetViews>
  <sheetFormatPr defaultRowHeight="12.75"/>
  <cols>
    <col min="13" max="13" width="6.42578125" bestFit="1" customWidth="1"/>
    <col min="14" max="14" width="11.42578125" customWidth="1"/>
    <col min="15" max="15" width="7.85546875" customWidth="1"/>
    <col min="16" max="16" width="7.140625" bestFit="1" customWidth="1"/>
    <col min="17" max="17" width="6.85546875" bestFit="1" customWidth="1"/>
    <col min="18" max="18" width="7.140625" bestFit="1" customWidth="1"/>
  </cols>
  <sheetData>
    <row r="1" spans="1:18">
      <c r="A1" s="235" t="str">
        <f>'Input Sheet'!B1</f>
        <v>Form TR-01, Revised 3/10/15</v>
      </c>
      <c r="B1" s="13"/>
      <c r="C1" s="13"/>
      <c r="D1" s="13"/>
      <c r="E1" s="13"/>
      <c r="F1" s="13"/>
      <c r="G1" s="13"/>
      <c r="H1" s="13"/>
      <c r="I1" s="13"/>
      <c r="J1" s="13"/>
      <c r="K1" s="236" t="s">
        <v>305</v>
      </c>
    </row>
    <row r="2" spans="1:18" ht="18.75" customHeight="1">
      <c r="A2" s="7"/>
      <c r="B2" s="8"/>
      <c r="C2" s="8"/>
      <c r="D2" s="8"/>
      <c r="E2" s="8"/>
      <c r="F2" s="8"/>
      <c r="G2" s="8"/>
      <c r="H2" s="8"/>
      <c r="I2" s="8"/>
      <c r="J2" s="8"/>
      <c r="K2" s="9"/>
    </row>
    <row r="3" spans="1:18">
      <c r="A3" s="7"/>
      <c r="B3" s="8"/>
      <c r="C3" s="8"/>
      <c r="D3" s="8"/>
      <c r="E3" s="8"/>
      <c r="F3" s="8"/>
      <c r="G3" s="8"/>
      <c r="H3" s="8"/>
      <c r="I3" s="8"/>
      <c r="J3" s="8"/>
      <c r="K3" s="9"/>
    </row>
    <row r="4" spans="1:18">
      <c r="A4" s="7"/>
      <c r="B4" s="8"/>
      <c r="C4" s="8"/>
      <c r="D4" s="8"/>
      <c r="E4" s="8"/>
      <c r="F4" s="8"/>
      <c r="G4" s="8"/>
      <c r="H4" s="8"/>
      <c r="I4" s="8"/>
      <c r="J4" s="8"/>
      <c r="K4" s="9"/>
    </row>
    <row r="5" spans="1:18">
      <c r="A5" s="7"/>
      <c r="B5" s="8"/>
      <c r="C5" s="8"/>
      <c r="D5" s="8"/>
      <c r="E5" s="8"/>
      <c r="F5" s="8"/>
      <c r="G5" s="8"/>
      <c r="H5" s="8"/>
      <c r="I5" s="8"/>
      <c r="J5" s="8"/>
      <c r="K5" s="9"/>
      <c r="M5" s="227"/>
      <c r="N5" s="227" t="s">
        <v>171</v>
      </c>
      <c r="O5" s="227" t="s">
        <v>156</v>
      </c>
      <c r="P5" s="227"/>
      <c r="Q5" s="227" t="s">
        <v>30</v>
      </c>
      <c r="R5" s="227"/>
    </row>
    <row r="6" spans="1:18">
      <c r="A6" s="7"/>
      <c r="B6" s="8"/>
      <c r="C6" s="8"/>
      <c r="D6" s="8"/>
      <c r="E6" s="8"/>
      <c r="F6" s="8"/>
      <c r="G6" s="8"/>
      <c r="H6" s="8"/>
      <c r="I6" s="8"/>
      <c r="J6" s="8"/>
      <c r="K6" s="9"/>
      <c r="M6" s="227"/>
      <c r="N6" s="227" t="s">
        <v>400</v>
      </c>
      <c r="O6" s="227" t="s">
        <v>401</v>
      </c>
      <c r="P6" s="227" t="s">
        <v>402</v>
      </c>
      <c r="Q6" s="227" t="s">
        <v>409</v>
      </c>
      <c r="R6" s="227" t="s">
        <v>402</v>
      </c>
    </row>
    <row r="7" spans="1:18">
      <c r="A7" s="7"/>
      <c r="B7" s="8"/>
      <c r="C7" s="8"/>
      <c r="D7" s="8"/>
      <c r="E7" s="8"/>
      <c r="F7" s="8"/>
      <c r="G7" s="8"/>
      <c r="H7" s="8"/>
      <c r="I7" s="8"/>
      <c r="J7" s="8"/>
      <c r="K7" s="9"/>
      <c r="M7" s="227" t="s">
        <v>397</v>
      </c>
      <c r="N7" s="227" t="s">
        <v>165</v>
      </c>
      <c r="O7" s="227" t="s">
        <v>171</v>
      </c>
      <c r="P7" s="227" t="s">
        <v>403</v>
      </c>
      <c r="Q7" s="231" t="s">
        <v>156</v>
      </c>
      <c r="R7" s="227" t="s">
        <v>403</v>
      </c>
    </row>
    <row r="8" spans="1:18">
      <c r="A8" s="7"/>
      <c r="B8" s="8"/>
      <c r="C8" s="8"/>
      <c r="D8" s="8"/>
      <c r="E8" s="8"/>
      <c r="F8" s="8"/>
      <c r="G8" s="8"/>
      <c r="H8" s="8"/>
      <c r="I8" s="8"/>
      <c r="J8" s="8"/>
      <c r="K8" s="9"/>
      <c r="M8" s="113" t="str">
        <f>Worksheet!FB18</f>
        <v>N/A</v>
      </c>
      <c r="N8" s="239" t="str">
        <f>Worksheet!FG18</f>
        <v>N/A</v>
      </c>
      <c r="O8" s="227" t="str">
        <f>Worksheet!FD18</f>
        <v>N/A</v>
      </c>
      <c r="P8" s="240">
        <f>IF(Worksheet!$EH$6="Yes","N/A",IF(M8="N/A",0,IF(O8&gt;$P$18,$N$18,IF(O8&lt;300,0,$N$17*(O8-300)/1100))))</f>
        <v>0</v>
      </c>
      <c r="Q8" s="227" t="str">
        <f>Worksheet!FC18</f>
        <v>N/A</v>
      </c>
      <c r="R8" s="240">
        <f>IF(Worksheet!$EH$6="Yes","N/A",IF(M8="N/A",0,$N$19*(Q8/500)))</f>
        <v>0</v>
      </c>
    </row>
    <row r="9" spans="1:18">
      <c r="A9" s="7"/>
      <c r="B9" s="8"/>
      <c r="C9" s="8"/>
      <c r="D9" s="8"/>
      <c r="E9" s="8"/>
      <c r="F9" s="8"/>
      <c r="G9" s="8"/>
      <c r="H9" s="8"/>
      <c r="I9" s="8"/>
      <c r="J9" s="8"/>
      <c r="K9" s="9"/>
      <c r="M9" s="113" t="str">
        <f>Worksheet!FB19</f>
        <v>N/A</v>
      </c>
      <c r="N9" s="239" t="str">
        <f>Worksheet!FG19</f>
        <v>N/A</v>
      </c>
      <c r="O9" s="227" t="str">
        <f>Worksheet!FD19</f>
        <v>N/A</v>
      </c>
      <c r="P9" s="240">
        <f>IF(Worksheet!$EH$6="Yes","N/A",IF(M9="N/A",0,IF(O9&gt;$P$18,$N$18,IF(O9&lt;300,0,$N$17*(O9-300)/1100))))</f>
        <v>0</v>
      </c>
      <c r="Q9" s="227" t="str">
        <f>Worksheet!FC19</f>
        <v>N/A</v>
      </c>
      <c r="R9" s="240">
        <f>IF(Worksheet!$EH$6="Yes","N/A",IF(M9="N/A",0,$N$19*(Q9/500)))</f>
        <v>0</v>
      </c>
    </row>
    <row r="10" spans="1:18">
      <c r="A10" s="7"/>
      <c r="B10" s="8"/>
      <c r="C10" s="8"/>
      <c r="D10" s="8"/>
      <c r="E10" s="8"/>
      <c r="F10" s="8"/>
      <c r="G10" s="8"/>
      <c r="H10" s="8"/>
      <c r="I10" s="8"/>
      <c r="J10" s="8"/>
      <c r="K10" s="9"/>
      <c r="M10" s="113" t="str">
        <f>Worksheet!FB20</f>
        <v>N/A</v>
      </c>
      <c r="N10" s="239" t="str">
        <f>Worksheet!FG20</f>
        <v>N/A</v>
      </c>
      <c r="O10" s="227" t="str">
        <f>Worksheet!FD20</f>
        <v>N/A</v>
      </c>
      <c r="P10" s="240">
        <f>IF(Worksheet!$EH$6="Yes","N/A",IF(M10="N/A",0,IF(O10&gt;$P$18,$N$18,IF(O10&lt;300,0,$N$17*(O10-300)/1100))))</f>
        <v>0</v>
      </c>
      <c r="Q10" s="227" t="str">
        <f>Worksheet!FC20</f>
        <v>N/A</v>
      </c>
      <c r="R10" s="240">
        <f>IF(Worksheet!$EH$6="Yes","N/A",IF(M10="N/A",0,$N$19*(Q10/500)))</f>
        <v>0</v>
      </c>
    </row>
    <row r="11" spans="1:18">
      <c r="A11" s="7"/>
      <c r="B11" s="8"/>
      <c r="C11" s="8"/>
      <c r="D11" s="8"/>
      <c r="E11" s="8"/>
      <c r="F11" s="8"/>
      <c r="G11" s="8"/>
      <c r="H11" s="8"/>
      <c r="I11" s="8"/>
      <c r="J11" s="8"/>
      <c r="K11" s="9"/>
      <c r="M11" s="113" t="str">
        <f>Worksheet!FB21</f>
        <v>N/A</v>
      </c>
      <c r="N11" s="239" t="str">
        <f>Worksheet!FG21</f>
        <v>N/A</v>
      </c>
      <c r="O11" s="227" t="str">
        <f>Worksheet!FD21</f>
        <v>N/A</v>
      </c>
      <c r="P11" s="240">
        <f>IF(Worksheet!$EH$6="Yes","N/A",IF(M11="N/A",0,IF(O11&gt;$P$18,$N$18,IF(O11&lt;300,0,$N$17*(O11-300)/1100))))</f>
        <v>0</v>
      </c>
      <c r="Q11" s="227" t="str">
        <f>Worksheet!FC21</f>
        <v>N/A</v>
      </c>
      <c r="R11" s="240">
        <f>IF(Worksheet!$EH$6="Yes","N/A",IF(M11="N/A",0,$N$19*(Q11/500)))</f>
        <v>0</v>
      </c>
    </row>
    <row r="12" spans="1:18">
      <c r="A12" s="7"/>
      <c r="B12" s="8"/>
      <c r="C12" s="8"/>
      <c r="D12" s="8"/>
      <c r="E12" s="8"/>
      <c r="F12" s="8"/>
      <c r="G12" s="8"/>
      <c r="H12" s="8"/>
      <c r="I12" s="8"/>
      <c r="J12" s="8"/>
      <c r="K12" s="9"/>
      <c r="M12" s="113" t="str">
        <f>Worksheet!FB22</f>
        <v>N/A</v>
      </c>
      <c r="N12" s="239" t="str">
        <f>Worksheet!FG22</f>
        <v>N/A</v>
      </c>
      <c r="O12" s="227" t="str">
        <f>Worksheet!FD22</f>
        <v>N/A</v>
      </c>
      <c r="P12" s="240">
        <f>IF(Worksheet!$EH$6="Yes","N/A",IF(M12="N/A",0,IF(O12&gt;$P$18,$N$18,IF(O12&lt;300,0,$N$17*(O12-300)/1100))))</f>
        <v>0</v>
      </c>
      <c r="Q12" s="227" t="str">
        <f>Worksheet!FC22</f>
        <v>N/A</v>
      </c>
      <c r="R12" s="240">
        <f>IF(Worksheet!$EH$6="Yes","N/A",IF(M12="N/A",0,$N$19*(Q12/500)))</f>
        <v>0</v>
      </c>
    </row>
    <row r="13" spans="1:18">
      <c r="A13" s="7"/>
      <c r="B13" s="8"/>
      <c r="C13" s="8"/>
      <c r="D13" s="8"/>
      <c r="E13" s="8"/>
      <c r="F13" s="8"/>
      <c r="G13" s="8"/>
      <c r="H13" s="8"/>
      <c r="I13" s="8"/>
      <c r="J13" s="8"/>
      <c r="K13" s="9"/>
      <c r="M13" s="113" t="str">
        <f>Worksheet!FB23</f>
        <v>N/A</v>
      </c>
      <c r="N13" s="239" t="str">
        <f>Worksheet!FG23</f>
        <v>N/A</v>
      </c>
      <c r="O13" s="227" t="str">
        <f>Worksheet!FD23</f>
        <v>N/A</v>
      </c>
      <c r="P13" s="240">
        <f>IF(Worksheet!$EH$6="Yes","N/A",IF(M13="N/A",0,IF(O13&gt;$P$18,$N$18,IF(O13&lt;300,0,$N$17*(O13-300)/1100))))</f>
        <v>0</v>
      </c>
      <c r="Q13" s="227" t="str">
        <f>Worksheet!FC23</f>
        <v>N/A</v>
      </c>
      <c r="R13" s="240">
        <f>IF(Worksheet!$EH$6="Yes","N/A",IF(M13="N/A",0,$N$19*(Q13/500)))</f>
        <v>0</v>
      </c>
    </row>
    <row r="14" spans="1:18">
      <c r="A14" s="7"/>
      <c r="B14" s="8"/>
      <c r="C14" s="8"/>
      <c r="D14" s="8"/>
      <c r="E14" s="8"/>
      <c r="F14" s="8"/>
      <c r="G14" s="8"/>
      <c r="H14" s="8"/>
      <c r="I14" s="8"/>
      <c r="J14" s="8"/>
      <c r="K14" s="9"/>
      <c r="M14" s="113" t="str">
        <f>Worksheet!FB24</f>
        <v>N/A</v>
      </c>
      <c r="N14" s="239" t="str">
        <f>Worksheet!FG24</f>
        <v>N/A</v>
      </c>
      <c r="O14" s="227" t="str">
        <f>Worksheet!FD24</f>
        <v>N/A</v>
      </c>
      <c r="P14" s="240">
        <f>IF(Worksheet!$EH$6="Yes","N/A",IF(M14="N/A",0,IF(O14&gt;$P$18,$N$18,IF(O14&lt;300,0,$N$17*(O14-300)/1100))))</f>
        <v>0</v>
      </c>
      <c r="Q14" s="227" t="str">
        <f>Worksheet!FC24</f>
        <v>N/A</v>
      </c>
      <c r="R14" s="240">
        <f>IF(Worksheet!$EH$6="Yes","N/A",IF(M14="N/A",0,$N$19*(Q14/500)))</f>
        <v>0</v>
      </c>
    </row>
    <row r="15" spans="1:18">
      <c r="A15" s="7"/>
      <c r="B15" s="8"/>
      <c r="C15" s="8"/>
      <c r="D15" s="8"/>
      <c r="E15" s="8"/>
      <c r="F15" s="8"/>
      <c r="G15" s="8"/>
      <c r="H15" s="8"/>
      <c r="I15" s="8"/>
      <c r="J15" s="8"/>
      <c r="K15" s="9"/>
      <c r="M15" s="113" t="str">
        <f>Worksheet!FB25</f>
        <v>N/A</v>
      </c>
      <c r="N15" s="239" t="str">
        <f>Worksheet!FG25</f>
        <v>N/A</v>
      </c>
      <c r="O15" s="227" t="str">
        <f>Worksheet!FD25</f>
        <v>N/A</v>
      </c>
      <c r="P15" s="240">
        <f>IF(Worksheet!$EH$6="Yes","N/A",IF(M15="N/A",0,IF(O15&gt;$P$18,$N$18,IF(O15&lt;300,0,$N$17*(O15-300)/1100))))</f>
        <v>0</v>
      </c>
      <c r="Q15" s="227" t="str">
        <f>Worksheet!FC25</f>
        <v>N/A</v>
      </c>
      <c r="R15" s="240">
        <f>IF(Worksheet!$EH$6="Yes","N/A",IF(M15="N/A",0,$N$19*(Q15/500)))</f>
        <v>0</v>
      </c>
    </row>
    <row r="16" spans="1:18">
      <c r="A16" s="7"/>
      <c r="B16" s="8"/>
      <c r="C16" s="8"/>
      <c r="D16" s="8"/>
      <c r="E16" s="8"/>
      <c r="F16" s="8"/>
      <c r="G16" s="8"/>
      <c r="H16" s="8"/>
      <c r="I16" s="8"/>
      <c r="J16" s="8"/>
      <c r="K16" s="9"/>
      <c r="M16" s="228"/>
      <c r="N16" s="228"/>
      <c r="O16" s="228"/>
      <c r="P16" s="228"/>
      <c r="Q16" s="228"/>
      <c r="R16" s="228"/>
    </row>
    <row r="17" spans="1:18">
      <c r="A17" s="7"/>
      <c r="B17" s="8"/>
      <c r="C17" s="8"/>
      <c r="D17" s="8"/>
      <c r="E17" s="8"/>
      <c r="F17" s="8"/>
      <c r="G17" s="8"/>
      <c r="H17" s="8"/>
      <c r="I17" s="8"/>
      <c r="J17" s="8"/>
      <c r="K17" s="9"/>
      <c r="M17" s="228"/>
      <c r="N17" s="228">
        <v>5.13</v>
      </c>
      <c r="O17" s="228" t="s">
        <v>405</v>
      </c>
      <c r="P17" s="228"/>
      <c r="Q17" s="228"/>
      <c r="R17" s="228"/>
    </row>
    <row r="18" spans="1:18">
      <c r="A18" s="7"/>
      <c r="B18" s="8"/>
      <c r="C18" s="8"/>
      <c r="D18" s="8"/>
      <c r="E18" s="8"/>
      <c r="F18" s="8"/>
      <c r="G18" s="8"/>
      <c r="H18" s="8"/>
      <c r="I18" s="8"/>
      <c r="J18" s="8"/>
      <c r="K18" s="9"/>
      <c r="M18" s="232"/>
      <c r="N18" s="228">
        <v>5.53</v>
      </c>
      <c r="O18" s="228" t="s">
        <v>404</v>
      </c>
      <c r="P18" s="230">
        <f>(1100*N18+N17*300)/N17</f>
        <v>1485.7699805068225</v>
      </c>
      <c r="Q18" s="228"/>
      <c r="R18" s="228"/>
    </row>
    <row r="19" spans="1:18">
      <c r="A19" s="7"/>
      <c r="B19" s="8"/>
      <c r="C19" s="8"/>
      <c r="D19" s="8"/>
      <c r="E19" s="8"/>
      <c r="F19" s="8"/>
      <c r="G19" s="8"/>
      <c r="H19" s="8"/>
      <c r="I19" s="8"/>
      <c r="J19" s="8"/>
      <c r="K19" s="9"/>
      <c r="M19" s="228"/>
      <c r="N19" s="228">
        <v>2.33</v>
      </c>
      <c r="O19" s="228" t="s">
        <v>406</v>
      </c>
      <c r="P19" s="228"/>
      <c r="Q19" s="228"/>
      <c r="R19" s="228"/>
    </row>
    <row r="20" spans="1:18">
      <c r="A20" s="7"/>
      <c r="B20" s="8"/>
      <c r="C20" s="8"/>
      <c r="D20" s="8"/>
      <c r="E20" s="8"/>
      <c r="F20" s="8"/>
      <c r="G20" s="8"/>
      <c r="H20" s="8"/>
      <c r="I20" s="8"/>
      <c r="J20" s="8"/>
      <c r="K20" s="9"/>
    </row>
    <row r="21" spans="1:18">
      <c r="A21" s="7"/>
      <c r="B21" s="8"/>
      <c r="C21" s="8"/>
      <c r="D21" s="8"/>
      <c r="E21" s="8"/>
      <c r="F21" s="8"/>
      <c r="G21" s="8"/>
      <c r="H21" s="8"/>
      <c r="I21" s="8"/>
      <c r="J21" s="8"/>
      <c r="K21" s="9"/>
    </row>
    <row r="22" spans="1:18">
      <c r="A22" s="7"/>
      <c r="B22" s="8"/>
      <c r="C22" s="8"/>
      <c r="D22" s="8"/>
      <c r="E22" s="8"/>
      <c r="F22" s="8"/>
      <c r="G22" s="8"/>
      <c r="H22" s="8"/>
      <c r="I22" s="8"/>
      <c r="J22" s="8"/>
      <c r="K22" s="9"/>
    </row>
    <row r="23" spans="1:18">
      <c r="A23" s="7"/>
      <c r="B23" s="8"/>
      <c r="C23" s="8"/>
      <c r="D23" s="8"/>
      <c r="E23" s="8"/>
      <c r="F23" s="8"/>
      <c r="G23" s="8"/>
      <c r="H23" s="8"/>
      <c r="I23" s="8"/>
      <c r="J23" s="8"/>
      <c r="K23" s="9"/>
    </row>
    <row r="24" spans="1:18">
      <c r="A24" s="7"/>
      <c r="B24" s="8"/>
      <c r="C24" s="8"/>
      <c r="D24" s="8"/>
      <c r="E24" s="8"/>
      <c r="F24" s="8"/>
      <c r="G24" s="8"/>
      <c r="H24" s="8"/>
      <c r="I24" s="8"/>
      <c r="J24" s="8"/>
      <c r="K24" s="9"/>
    </row>
    <row r="25" spans="1:18">
      <c r="A25" s="7"/>
      <c r="B25" s="8"/>
      <c r="C25" s="8"/>
      <c r="D25" s="8"/>
      <c r="E25" s="8"/>
      <c r="F25" s="8"/>
      <c r="G25" s="8"/>
      <c r="H25" s="8"/>
      <c r="I25" s="8"/>
      <c r="J25" s="8"/>
      <c r="K25" s="9"/>
    </row>
    <row r="26" spans="1:18">
      <c r="A26" s="7"/>
      <c r="B26" s="8"/>
      <c r="C26" s="8"/>
      <c r="D26" s="8"/>
      <c r="E26" s="8"/>
      <c r="F26" s="8"/>
      <c r="G26" s="8"/>
      <c r="H26" s="8"/>
      <c r="I26" s="8"/>
      <c r="J26" s="8"/>
      <c r="K26" s="9"/>
    </row>
    <row r="27" spans="1:18">
      <c r="A27" s="7"/>
      <c r="B27" s="8"/>
      <c r="C27" s="8"/>
      <c r="D27" s="8"/>
      <c r="E27" s="8"/>
      <c r="F27" s="8"/>
      <c r="G27" s="8"/>
      <c r="H27" s="8"/>
      <c r="I27" s="8"/>
      <c r="J27" s="8"/>
      <c r="K27" s="9"/>
    </row>
    <row r="28" spans="1:18">
      <c r="A28" s="7"/>
      <c r="B28" s="8"/>
      <c r="C28" s="8"/>
      <c r="D28" s="8"/>
      <c r="E28" s="8"/>
      <c r="F28" s="8"/>
      <c r="G28" s="8"/>
      <c r="H28" s="8"/>
      <c r="I28" s="8"/>
      <c r="J28" s="8"/>
      <c r="K28" s="9"/>
    </row>
    <row r="29" spans="1:18">
      <c r="A29" s="7"/>
      <c r="B29" s="8"/>
      <c r="C29" s="8"/>
      <c r="D29" s="8"/>
      <c r="E29" s="8"/>
      <c r="F29" s="8"/>
      <c r="G29" s="8"/>
      <c r="H29" s="8"/>
      <c r="I29" s="8"/>
      <c r="J29" s="8"/>
      <c r="K29" s="9"/>
    </row>
    <row r="30" spans="1:18">
      <c r="A30" s="7"/>
      <c r="B30" s="8"/>
      <c r="C30" s="8"/>
      <c r="D30" s="8"/>
      <c r="E30" s="8"/>
      <c r="F30" s="8"/>
      <c r="G30" s="8"/>
      <c r="H30" s="8"/>
      <c r="I30" s="8"/>
      <c r="J30" s="8"/>
      <c r="K30" s="9"/>
    </row>
    <row r="31" spans="1:18">
      <c r="A31" s="7"/>
      <c r="B31" s="8"/>
      <c r="C31" s="8"/>
      <c r="D31" s="8"/>
      <c r="E31" s="8"/>
      <c r="F31" s="8"/>
      <c r="G31" s="8"/>
      <c r="H31" s="8"/>
      <c r="I31" s="8"/>
      <c r="J31" s="8"/>
      <c r="K31" s="9"/>
    </row>
    <row r="32" spans="1:18">
      <c r="A32" s="7"/>
      <c r="B32" s="8"/>
      <c r="C32" s="8"/>
      <c r="D32" s="8"/>
      <c r="E32" s="8"/>
      <c r="F32" s="8"/>
      <c r="G32" s="8"/>
      <c r="H32" s="8"/>
      <c r="I32" s="8"/>
      <c r="J32" s="8"/>
      <c r="K32" s="9"/>
    </row>
    <row r="33" spans="1:18">
      <c r="A33" s="7"/>
      <c r="B33" s="8"/>
      <c r="C33" s="8"/>
      <c r="D33" s="8"/>
      <c r="E33" s="8"/>
      <c r="F33" s="8"/>
      <c r="G33" s="8"/>
      <c r="H33" s="8"/>
      <c r="I33" s="8"/>
      <c r="J33" s="8"/>
      <c r="K33" s="9"/>
    </row>
    <row r="34" spans="1:18">
      <c r="A34" s="7"/>
      <c r="B34" s="8"/>
      <c r="C34" s="8"/>
      <c r="D34" s="8"/>
      <c r="E34" s="8"/>
      <c r="F34" s="8"/>
      <c r="G34" s="8"/>
      <c r="H34" s="8"/>
      <c r="I34" s="8"/>
      <c r="J34" s="8"/>
      <c r="K34" s="9"/>
    </row>
    <row r="35" spans="1:18">
      <c r="A35" s="7"/>
      <c r="B35" s="8"/>
      <c r="C35" s="8"/>
      <c r="D35" s="8"/>
      <c r="E35" s="8"/>
      <c r="F35" s="8"/>
      <c r="G35" s="8"/>
      <c r="H35" s="8"/>
      <c r="I35" s="8"/>
      <c r="J35" s="8"/>
      <c r="K35" s="9"/>
      <c r="M35" s="227"/>
      <c r="N35" s="227" t="s">
        <v>171</v>
      </c>
      <c r="O35" s="227" t="s">
        <v>156</v>
      </c>
      <c r="P35" s="227"/>
      <c r="Q35" s="227" t="s">
        <v>30</v>
      </c>
      <c r="R35" s="227"/>
    </row>
    <row r="36" spans="1:18">
      <c r="A36" s="7"/>
      <c r="B36" s="8"/>
      <c r="C36" s="8"/>
      <c r="D36" s="8"/>
      <c r="E36" s="8"/>
      <c r="F36" s="8"/>
      <c r="G36" s="8"/>
      <c r="H36" s="8"/>
      <c r="I36" s="8"/>
      <c r="J36" s="8"/>
      <c r="K36" s="9"/>
      <c r="M36" s="227"/>
      <c r="N36" s="227" t="s">
        <v>400</v>
      </c>
      <c r="O36" s="227" t="s">
        <v>401</v>
      </c>
      <c r="P36" s="227" t="s">
        <v>402</v>
      </c>
      <c r="Q36" s="227" t="s">
        <v>409</v>
      </c>
      <c r="R36" s="227" t="s">
        <v>402</v>
      </c>
    </row>
    <row r="37" spans="1:18">
      <c r="A37" s="7"/>
      <c r="B37" s="8"/>
      <c r="C37" s="8"/>
      <c r="D37" s="8"/>
      <c r="E37" s="8"/>
      <c r="F37" s="8"/>
      <c r="G37" s="8"/>
      <c r="H37" s="8"/>
      <c r="I37" s="8"/>
      <c r="J37" s="8"/>
      <c r="K37" s="9"/>
      <c r="M37" s="227" t="s">
        <v>397</v>
      </c>
      <c r="N37" s="227" t="s">
        <v>165</v>
      </c>
      <c r="O37" s="227" t="s">
        <v>171</v>
      </c>
      <c r="P37" s="227" t="s">
        <v>403</v>
      </c>
      <c r="Q37" s="231" t="s">
        <v>156</v>
      </c>
      <c r="R37" s="227" t="s">
        <v>403</v>
      </c>
    </row>
    <row r="38" spans="1:18">
      <c r="A38" s="7"/>
      <c r="B38" s="8"/>
      <c r="C38" s="8"/>
      <c r="D38" s="8"/>
      <c r="E38" s="8"/>
      <c r="F38" s="8"/>
      <c r="G38" s="8"/>
      <c r="H38" s="8"/>
      <c r="I38" s="8"/>
      <c r="J38" s="8"/>
      <c r="K38" s="9"/>
      <c r="M38" s="113" t="str">
        <f>Worksheet!FB18</f>
        <v>N/A</v>
      </c>
      <c r="N38" s="239" t="str">
        <f>Worksheet!FH18</f>
        <v>N/A</v>
      </c>
      <c r="O38" s="227" t="str">
        <f>Worksheet!FD18</f>
        <v>N/A</v>
      </c>
      <c r="P38" s="240">
        <f>IF(Worksheet!$EH$6="Yes","N/A",IF(M38="N/A",0,IF(O38&gt;$P$48,$N$48,IF(O38&lt;300,0,$N$47*(O38-300)/1500))))</f>
        <v>0</v>
      </c>
      <c r="Q38" s="227" t="str">
        <f>Worksheet!FC18</f>
        <v>N/A</v>
      </c>
      <c r="R38" s="240">
        <f>IF(Worksheet!$EH$6="Yes","N/A",IF(M38="N/A",0,$N$49*(Q38/700)))</f>
        <v>0</v>
      </c>
    </row>
    <row r="39" spans="1:18">
      <c r="A39" s="7"/>
      <c r="B39" s="8"/>
      <c r="C39" s="8"/>
      <c r="D39" s="8"/>
      <c r="E39" s="8"/>
      <c r="F39" s="8"/>
      <c r="G39" s="8"/>
      <c r="H39" s="8"/>
      <c r="I39" s="8"/>
      <c r="J39" s="8"/>
      <c r="K39" s="9"/>
      <c r="M39" s="113" t="str">
        <f>Worksheet!FB19</f>
        <v>N/A</v>
      </c>
      <c r="N39" s="239" t="str">
        <f>Worksheet!FH19</f>
        <v>N/A</v>
      </c>
      <c r="O39" s="227" t="str">
        <f>Worksheet!FD19</f>
        <v>N/A</v>
      </c>
      <c r="P39" s="240">
        <f>IF(Worksheet!$EH$6="Yes","N/A",IF(M39="N/A",0,IF(O39&gt;$P$48,$N$48,IF(O39&lt;300,0,$N$47*(O39-300)/1500))))</f>
        <v>0</v>
      </c>
      <c r="Q39" s="227" t="str">
        <f>Worksheet!FC19</f>
        <v>N/A</v>
      </c>
      <c r="R39" s="240">
        <f>IF(Worksheet!$EH$6="Yes","N/A",IF(M39="N/A",0,$N$49*(Q39/700)))</f>
        <v>0</v>
      </c>
    </row>
    <row r="40" spans="1:18">
      <c r="A40" s="7"/>
      <c r="B40" s="8"/>
      <c r="C40" s="8"/>
      <c r="D40" s="8"/>
      <c r="E40" s="8"/>
      <c r="F40" s="8"/>
      <c r="G40" s="8"/>
      <c r="H40" s="8"/>
      <c r="I40" s="8"/>
      <c r="J40" s="8"/>
      <c r="K40" s="9"/>
      <c r="M40" s="113" t="str">
        <f>Worksheet!FB20</f>
        <v>N/A</v>
      </c>
      <c r="N40" s="239" t="str">
        <f>Worksheet!FH20</f>
        <v>N/A</v>
      </c>
      <c r="O40" s="227" t="str">
        <f>Worksheet!FD20</f>
        <v>N/A</v>
      </c>
      <c r="P40" s="240">
        <f>IF(Worksheet!$EH$6="Yes","N/A",IF(M40="N/A",0,IF(O40&gt;$P$48,$N$48,IF(O40&lt;300,0,$N$47*(O40-300)/1500))))</f>
        <v>0</v>
      </c>
      <c r="Q40" s="227" t="str">
        <f>Worksheet!FC20</f>
        <v>N/A</v>
      </c>
      <c r="R40" s="240">
        <f>IF(Worksheet!$EH$6="Yes","N/A",IF(M40="N/A",0,$N$49*(Q40/700)))</f>
        <v>0</v>
      </c>
    </row>
    <row r="41" spans="1:18">
      <c r="A41" s="7"/>
      <c r="B41" s="8"/>
      <c r="C41" s="8"/>
      <c r="D41" s="8"/>
      <c r="E41" s="8"/>
      <c r="F41" s="8"/>
      <c r="G41" s="8"/>
      <c r="H41" s="8"/>
      <c r="I41" s="8"/>
      <c r="J41" s="8"/>
      <c r="K41" s="9"/>
      <c r="M41" s="113" t="str">
        <f>Worksheet!FB21</f>
        <v>N/A</v>
      </c>
      <c r="N41" s="239" t="str">
        <f>Worksheet!FH21</f>
        <v>N/A</v>
      </c>
      <c r="O41" s="227" t="str">
        <f>Worksheet!FD21</f>
        <v>N/A</v>
      </c>
      <c r="P41" s="240">
        <f>IF(Worksheet!$EH$6="Yes","N/A",IF(M41="N/A",0,IF(O41&gt;$P$48,$N$48,IF(O41&lt;300,0,$N$47*(O41-300)/1500))))</f>
        <v>0</v>
      </c>
      <c r="Q41" s="227" t="str">
        <f>Worksheet!FC21</f>
        <v>N/A</v>
      </c>
      <c r="R41" s="240">
        <f>IF(Worksheet!$EH$6="Yes","N/A",IF(M41="N/A",0,$N$49*(Q41/700)))</f>
        <v>0</v>
      </c>
    </row>
    <row r="42" spans="1:18">
      <c r="A42" s="7"/>
      <c r="B42" s="8"/>
      <c r="C42" s="8"/>
      <c r="D42" s="8"/>
      <c r="E42" s="8"/>
      <c r="F42" s="8"/>
      <c r="G42" s="8"/>
      <c r="H42" s="8"/>
      <c r="I42" s="8"/>
      <c r="J42" s="8"/>
      <c r="K42" s="9"/>
      <c r="M42" s="113" t="str">
        <f>Worksheet!FB22</f>
        <v>N/A</v>
      </c>
      <c r="N42" s="239" t="str">
        <f>Worksheet!FH22</f>
        <v>N/A</v>
      </c>
      <c r="O42" s="227" t="str">
        <f>Worksheet!FD22</f>
        <v>N/A</v>
      </c>
      <c r="P42" s="240">
        <f>IF(Worksheet!$EH$6="Yes","N/A",IF(M42="N/A",0,IF(O42&gt;$P$48,$N$48,IF(O42&lt;300,0,$N$47*(O42-300)/1500))))</f>
        <v>0</v>
      </c>
      <c r="Q42" s="227" t="str">
        <f>Worksheet!FC22</f>
        <v>N/A</v>
      </c>
      <c r="R42" s="240">
        <f>IF(Worksheet!$EH$6="Yes","N/A",IF(M42="N/A",0,$N$49*(Q42/700)))</f>
        <v>0</v>
      </c>
    </row>
    <row r="43" spans="1:18">
      <c r="A43" s="7"/>
      <c r="B43" s="8"/>
      <c r="C43" s="8"/>
      <c r="D43" s="8"/>
      <c r="E43" s="8"/>
      <c r="F43" s="8"/>
      <c r="G43" s="8"/>
      <c r="H43" s="8"/>
      <c r="I43" s="8"/>
      <c r="J43" s="8"/>
      <c r="K43" s="9"/>
      <c r="M43" s="113" t="str">
        <f>Worksheet!FB23</f>
        <v>N/A</v>
      </c>
      <c r="N43" s="239" t="str">
        <f>Worksheet!FH23</f>
        <v>N/A</v>
      </c>
      <c r="O43" s="227" t="str">
        <f>Worksheet!FD23</f>
        <v>N/A</v>
      </c>
      <c r="P43" s="240">
        <f>IF(Worksheet!$EH$6="Yes","N/A",IF(M43="N/A",0,IF(O43&gt;$P$48,$N$48,IF(O43&lt;300,0,$N$47*(O43-300)/1500))))</f>
        <v>0</v>
      </c>
      <c r="Q43" s="227" t="str">
        <f>Worksheet!FC23</f>
        <v>N/A</v>
      </c>
      <c r="R43" s="240">
        <f>IF(Worksheet!$EH$6="Yes","N/A",IF(M43="N/A",0,$N$49*(Q43/700)))</f>
        <v>0</v>
      </c>
    </row>
    <row r="44" spans="1:18">
      <c r="A44" s="7"/>
      <c r="B44" s="8"/>
      <c r="C44" s="8"/>
      <c r="D44" s="8"/>
      <c r="E44" s="8"/>
      <c r="F44" s="8"/>
      <c r="G44" s="8"/>
      <c r="H44" s="8"/>
      <c r="I44" s="8"/>
      <c r="J44" s="8"/>
      <c r="K44" s="9"/>
      <c r="M44" s="113" t="str">
        <f>Worksheet!FB24</f>
        <v>N/A</v>
      </c>
      <c r="N44" s="239" t="str">
        <f>Worksheet!FH24</f>
        <v>N/A</v>
      </c>
      <c r="O44" s="227" t="str">
        <f>Worksheet!FD24</f>
        <v>N/A</v>
      </c>
      <c r="P44" s="240">
        <f>IF(Worksheet!$EH$6="Yes","N/A",IF(M44="N/A",0,IF(O44&gt;$P$48,$N$48,IF(O44&lt;300,0,$N$47*(O44-300)/1500))))</f>
        <v>0</v>
      </c>
      <c r="Q44" s="227" t="str">
        <f>Worksheet!FC24</f>
        <v>N/A</v>
      </c>
      <c r="R44" s="240">
        <f>IF(Worksheet!$EH$6="Yes","N/A",IF(M44="N/A",0,$N$49*(Q44/700)))</f>
        <v>0</v>
      </c>
    </row>
    <row r="45" spans="1:18">
      <c r="A45" s="7"/>
      <c r="B45" s="8"/>
      <c r="C45" s="8"/>
      <c r="D45" s="8"/>
      <c r="E45" s="8"/>
      <c r="F45" s="8"/>
      <c r="G45" s="8"/>
      <c r="H45" s="8"/>
      <c r="I45" s="8"/>
      <c r="J45" s="8"/>
      <c r="K45" s="9"/>
      <c r="M45" s="113" t="str">
        <f>Worksheet!FB25</f>
        <v>N/A</v>
      </c>
      <c r="N45" s="239" t="str">
        <f>Worksheet!FH25</f>
        <v>N/A</v>
      </c>
      <c r="O45" s="227" t="str">
        <f>Worksheet!FD25</f>
        <v>N/A</v>
      </c>
      <c r="P45" s="240">
        <f>IF(Worksheet!$EH$6="Yes","N/A",IF(M45="N/A",0,IF(O45&gt;$P$48,$N$48,IF(O45&lt;300,0,$N$47*(O45-300)/1500))))</f>
        <v>0</v>
      </c>
      <c r="Q45" s="227" t="str">
        <f>Worksheet!FC25</f>
        <v>N/A</v>
      </c>
      <c r="R45" s="240">
        <f>IF(Worksheet!$EH$6="Yes","N/A",IF(M45="N/A",0,$N$49*(Q45/700)))</f>
        <v>0</v>
      </c>
    </row>
    <row r="46" spans="1:18">
      <c r="A46" s="7"/>
      <c r="B46" s="8"/>
      <c r="C46" s="8"/>
      <c r="D46" s="8"/>
      <c r="E46" s="8"/>
      <c r="F46" s="8"/>
      <c r="G46" s="8"/>
      <c r="H46" s="8"/>
      <c r="I46" s="8"/>
      <c r="J46" s="8"/>
      <c r="K46" s="9"/>
      <c r="M46" s="228"/>
      <c r="N46" s="228"/>
      <c r="O46" s="228"/>
      <c r="P46" s="228"/>
      <c r="Q46" s="228"/>
      <c r="R46" s="228"/>
    </row>
    <row r="47" spans="1:18">
      <c r="A47" s="7"/>
      <c r="B47" s="8"/>
      <c r="C47" s="8"/>
      <c r="D47" s="8"/>
      <c r="E47" s="8"/>
      <c r="F47" s="8"/>
      <c r="G47" s="8"/>
      <c r="H47" s="8"/>
      <c r="I47" s="8"/>
      <c r="J47" s="8"/>
      <c r="K47" s="9"/>
      <c r="M47" s="228"/>
      <c r="N47" s="228">
        <v>5.07</v>
      </c>
      <c r="O47" s="228" t="s">
        <v>405</v>
      </c>
      <c r="P47" s="228"/>
      <c r="Q47" s="228"/>
      <c r="R47" s="228"/>
    </row>
    <row r="48" spans="1:18">
      <c r="A48" s="7"/>
      <c r="B48" s="8"/>
      <c r="C48" s="8"/>
      <c r="D48" s="8"/>
      <c r="E48" s="8"/>
      <c r="F48" s="8"/>
      <c r="G48" s="8"/>
      <c r="H48" s="8"/>
      <c r="I48" s="8"/>
      <c r="J48" s="8"/>
      <c r="K48" s="9"/>
      <c r="M48" s="232"/>
      <c r="N48" s="228">
        <v>5.53</v>
      </c>
      <c r="O48" s="228" t="s">
        <v>404</v>
      </c>
      <c r="P48" s="230">
        <f>(1500*N48+N47*300)/N47</f>
        <v>1936.094674556213</v>
      </c>
      <c r="Q48" s="228"/>
      <c r="R48" s="228"/>
    </row>
    <row r="49" spans="1:18">
      <c r="A49" s="7"/>
      <c r="B49" s="8"/>
      <c r="C49" s="8"/>
      <c r="D49" s="8"/>
      <c r="E49" s="8"/>
      <c r="F49" s="8"/>
      <c r="G49" s="8"/>
      <c r="H49" s="8"/>
      <c r="I49" s="8"/>
      <c r="J49" s="8"/>
      <c r="K49" s="9"/>
      <c r="M49" s="228"/>
      <c r="N49" s="228">
        <v>2.2999999999999998</v>
      </c>
      <c r="O49" s="228" t="s">
        <v>406</v>
      </c>
      <c r="P49" s="228"/>
      <c r="Q49" s="228"/>
      <c r="R49" s="228"/>
    </row>
    <row r="50" spans="1:18">
      <c r="A50" s="7"/>
      <c r="B50" s="8"/>
      <c r="C50" s="8"/>
      <c r="D50" s="8"/>
      <c r="E50" s="8"/>
      <c r="F50" s="8"/>
      <c r="G50" s="8"/>
      <c r="H50" s="8"/>
      <c r="I50" s="8"/>
      <c r="J50" s="8"/>
      <c r="K50" s="9"/>
    </row>
    <row r="51" spans="1:18">
      <c r="A51" s="7"/>
      <c r="B51" s="8"/>
      <c r="C51" s="8"/>
      <c r="D51" s="8"/>
      <c r="E51" s="8"/>
      <c r="F51" s="8"/>
      <c r="G51" s="8"/>
      <c r="H51" s="8"/>
      <c r="I51" s="8"/>
      <c r="J51" s="8"/>
      <c r="K51" s="9"/>
    </row>
    <row r="52" spans="1:18">
      <c r="A52" s="7"/>
      <c r="B52" s="8"/>
      <c r="C52" s="8"/>
      <c r="D52" s="8"/>
      <c r="E52" s="8"/>
      <c r="F52" s="8"/>
      <c r="G52" s="8"/>
      <c r="H52" s="8"/>
      <c r="I52" s="8"/>
      <c r="J52" s="8"/>
      <c r="K52" s="9"/>
    </row>
    <row r="53" spans="1:18">
      <c r="A53" s="7"/>
      <c r="B53" s="8"/>
      <c r="C53" s="8"/>
      <c r="D53" s="8"/>
      <c r="E53" s="8"/>
      <c r="F53" s="8"/>
      <c r="G53" s="8"/>
      <c r="H53" s="8"/>
      <c r="I53" s="8"/>
      <c r="J53" s="8"/>
      <c r="K53" s="9"/>
    </row>
    <row r="54" spans="1:18">
      <c r="A54" s="7"/>
      <c r="B54" s="8"/>
      <c r="C54" s="8"/>
      <c r="D54" s="8"/>
      <c r="E54" s="8"/>
      <c r="F54" s="8"/>
      <c r="G54" s="8"/>
      <c r="H54" s="8"/>
      <c r="I54" s="8"/>
      <c r="J54" s="8"/>
      <c r="K54" s="9"/>
    </row>
    <row r="55" spans="1:18">
      <c r="A55" s="7"/>
      <c r="B55" s="8"/>
      <c r="C55" s="8"/>
      <c r="D55" s="8"/>
      <c r="E55" s="8"/>
      <c r="F55" s="8"/>
      <c r="G55" s="8"/>
      <c r="H55" s="8"/>
      <c r="I55" s="8"/>
      <c r="J55" s="8"/>
      <c r="K55" s="9"/>
    </row>
    <row r="56" spans="1:18">
      <c r="A56" s="7"/>
      <c r="B56" s="8"/>
      <c r="C56" s="8"/>
      <c r="D56" s="8"/>
      <c r="E56" s="8"/>
      <c r="F56" s="8"/>
      <c r="G56" s="8"/>
      <c r="H56" s="8"/>
      <c r="I56" s="8"/>
      <c r="J56" s="8"/>
      <c r="K56" s="9"/>
    </row>
    <row r="57" spans="1:18">
      <c r="A57" s="7"/>
      <c r="B57" s="8"/>
      <c r="C57" s="8"/>
      <c r="D57" s="8"/>
      <c r="E57" s="8"/>
      <c r="F57" s="8"/>
      <c r="G57" s="8"/>
      <c r="H57" s="8"/>
      <c r="I57" s="8"/>
      <c r="J57" s="8"/>
      <c r="K57" s="9"/>
    </row>
    <row r="58" spans="1:18">
      <c r="A58" s="7"/>
      <c r="B58" s="8"/>
      <c r="C58" s="8"/>
      <c r="D58" s="8"/>
      <c r="E58" s="8"/>
      <c r="F58" s="8"/>
      <c r="G58" s="8"/>
      <c r="H58" s="8"/>
      <c r="I58" s="8"/>
      <c r="J58" s="8"/>
      <c r="K58" s="9"/>
    </row>
    <row r="59" spans="1:18">
      <c r="A59" s="7"/>
      <c r="B59" s="8"/>
      <c r="C59" s="8"/>
      <c r="D59" s="8"/>
      <c r="E59" s="8"/>
      <c r="F59" s="8"/>
      <c r="G59" s="8"/>
      <c r="H59" s="8"/>
      <c r="I59" s="8"/>
      <c r="J59" s="8"/>
      <c r="K59" s="9"/>
    </row>
    <row r="60" spans="1:18" ht="13.5" thickBot="1">
      <c r="A60" s="27"/>
      <c r="B60" s="10"/>
      <c r="C60" s="10"/>
      <c r="D60" s="10"/>
      <c r="E60" s="10"/>
      <c r="F60" s="10"/>
      <c r="G60" s="10"/>
      <c r="H60" s="10"/>
      <c r="I60" s="10"/>
      <c r="J60" s="10"/>
      <c r="K60" s="11"/>
    </row>
  </sheetData>
  <sheetProtection password="E0BD" sheet="1" objects="1" scenarios="1"/>
  <conditionalFormatting sqref="N8:N15">
    <cfRule type="cellIs" dxfId="35" priority="8" stopIfTrue="1" operator="greaterThanOrEqual">
      <formula>5</formula>
    </cfRule>
    <cfRule type="cellIs" dxfId="34" priority="9" stopIfTrue="1" operator="lessThanOrEqual">
      <formula>-8</formula>
    </cfRule>
    <cfRule type="cellIs" dxfId="33" priority="10" stopIfTrue="1" operator="between">
      <formula>-8</formula>
      <formula>5</formula>
    </cfRule>
  </conditionalFormatting>
  <conditionalFormatting sqref="N38:N45">
    <cfRule type="cellIs" dxfId="32" priority="5" stopIfTrue="1" operator="greaterThanOrEqual">
      <formula>5</formula>
    </cfRule>
    <cfRule type="cellIs" dxfId="31" priority="6" stopIfTrue="1" operator="lessThanOrEqual">
      <formula>-10</formula>
    </cfRule>
    <cfRule type="cellIs" dxfId="30" priority="7" stopIfTrue="1" operator="between">
      <formula>-10</formula>
      <formula>5</formula>
    </cfRule>
  </conditionalFormatting>
  <conditionalFormatting sqref="N38:N45">
    <cfRule type="cellIs" dxfId="29" priority="2" stopIfTrue="1" operator="greaterThanOrEqual">
      <formula>5</formula>
    </cfRule>
    <cfRule type="cellIs" dxfId="28" priority="3" stopIfTrue="1" operator="lessThanOrEqual">
      <formula>-8</formula>
    </cfRule>
    <cfRule type="cellIs" dxfId="27" priority="4" stopIfTrue="1" operator="between">
      <formula>-8</formula>
      <formula>5</formula>
    </cfRule>
  </conditionalFormatting>
  <conditionalFormatting sqref="N8:N15 N38:N45">
    <cfRule type="cellIs" dxfId="26" priority="1" operator="equal">
      <formula>"N/A"</formula>
    </cfRule>
  </conditionalFormatting>
  <printOptions horizontalCentered="1" verticalCentered="1"/>
  <pageMargins left="0.25" right="0.25" top="0.25" bottom="0.25"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R65"/>
  <sheetViews>
    <sheetView zoomScaleNormal="100" workbookViewId="0"/>
  </sheetViews>
  <sheetFormatPr defaultRowHeight="12.75"/>
  <cols>
    <col min="13" max="13" width="6.42578125" bestFit="1" customWidth="1"/>
    <col min="14" max="14" width="11.5703125" bestFit="1" customWidth="1"/>
    <col min="15" max="15" width="7.7109375" customWidth="1"/>
    <col min="16" max="16" width="7.140625" bestFit="1" customWidth="1"/>
    <col min="17" max="17" width="6.85546875" bestFit="1" customWidth="1"/>
    <col min="18" max="18" width="7.140625" bestFit="1" customWidth="1"/>
  </cols>
  <sheetData>
    <row r="1" spans="1:18">
      <c r="A1" s="235" t="str">
        <f>'Input Sheet'!B1</f>
        <v>Form TR-01, Revised 3/10/15</v>
      </c>
      <c r="B1" s="13"/>
      <c r="C1" s="13"/>
      <c r="D1" s="13"/>
      <c r="E1" s="13"/>
      <c r="F1" s="13"/>
      <c r="G1" s="13"/>
      <c r="H1" s="13"/>
      <c r="I1" s="13"/>
      <c r="J1" s="13"/>
      <c r="K1" s="236" t="s">
        <v>305</v>
      </c>
    </row>
    <row r="2" spans="1:18">
      <c r="A2" s="7"/>
      <c r="B2" s="8"/>
      <c r="C2" s="8"/>
      <c r="D2" s="8"/>
      <c r="E2" s="8"/>
      <c r="F2" s="8"/>
      <c r="G2" s="8"/>
      <c r="H2" s="8"/>
      <c r="I2" s="8"/>
      <c r="J2" s="8"/>
      <c r="K2" s="9"/>
    </row>
    <row r="3" spans="1:18">
      <c r="A3" s="7"/>
      <c r="B3" s="8"/>
      <c r="C3" s="8"/>
      <c r="D3" s="8"/>
      <c r="E3" s="8"/>
      <c r="F3" s="8"/>
      <c r="G3" s="8"/>
      <c r="H3" s="8"/>
      <c r="I3" s="8"/>
      <c r="J3" s="8"/>
      <c r="K3" s="9"/>
    </row>
    <row r="4" spans="1:18">
      <c r="A4" s="7"/>
      <c r="B4" s="8"/>
      <c r="C4" s="8"/>
      <c r="D4" s="8"/>
      <c r="E4" s="8"/>
      <c r="F4" s="8"/>
      <c r="G4" s="8"/>
      <c r="H4" s="8"/>
      <c r="I4" s="8"/>
      <c r="J4" s="8"/>
      <c r="K4" s="9"/>
    </row>
    <row r="5" spans="1:18">
      <c r="A5" s="7"/>
      <c r="B5" s="8"/>
      <c r="C5" s="8"/>
      <c r="D5" s="8"/>
      <c r="E5" s="8"/>
      <c r="F5" s="8"/>
      <c r="G5" s="8"/>
      <c r="H5" s="8"/>
      <c r="I5" s="8"/>
      <c r="J5" s="8"/>
      <c r="K5" s="9"/>
      <c r="M5" s="227"/>
      <c r="N5" s="227" t="s">
        <v>171</v>
      </c>
      <c r="O5" s="227" t="s">
        <v>156</v>
      </c>
      <c r="P5" s="227"/>
      <c r="Q5" s="227" t="s">
        <v>30</v>
      </c>
      <c r="R5" s="227"/>
    </row>
    <row r="6" spans="1:18">
      <c r="A6" s="7"/>
      <c r="B6" s="8"/>
      <c r="C6" s="8"/>
      <c r="D6" s="8"/>
      <c r="E6" s="8"/>
      <c r="F6" s="8"/>
      <c r="G6" s="8"/>
      <c r="H6" s="8"/>
      <c r="I6" s="8"/>
      <c r="J6" s="8"/>
      <c r="K6" s="9"/>
      <c r="M6" s="227"/>
      <c r="N6" s="227" t="s">
        <v>400</v>
      </c>
      <c r="O6" s="227" t="s">
        <v>401</v>
      </c>
      <c r="P6" s="227" t="s">
        <v>402</v>
      </c>
      <c r="Q6" s="227" t="s">
        <v>409</v>
      </c>
      <c r="R6" s="227" t="s">
        <v>402</v>
      </c>
    </row>
    <row r="7" spans="1:18">
      <c r="A7" s="7"/>
      <c r="B7" s="8"/>
      <c r="C7" s="8"/>
      <c r="D7" s="8"/>
      <c r="E7" s="8"/>
      <c r="F7" s="8"/>
      <c r="G7" s="8"/>
      <c r="H7" s="8"/>
      <c r="I7" s="8"/>
      <c r="J7" s="8"/>
      <c r="K7" s="9"/>
      <c r="M7" s="227" t="s">
        <v>397</v>
      </c>
      <c r="N7" s="227" t="s">
        <v>165</v>
      </c>
      <c r="O7" s="227" t="s">
        <v>171</v>
      </c>
      <c r="P7" s="227" t="s">
        <v>403</v>
      </c>
      <c r="Q7" s="231" t="s">
        <v>156</v>
      </c>
      <c r="R7" s="227" t="s">
        <v>403</v>
      </c>
    </row>
    <row r="8" spans="1:18">
      <c r="A8" s="7"/>
      <c r="B8" s="8"/>
      <c r="C8" s="8"/>
      <c r="D8" s="8"/>
      <c r="E8" s="8"/>
      <c r="F8" s="8"/>
      <c r="G8" s="8"/>
      <c r="H8" s="8"/>
      <c r="I8" s="8"/>
      <c r="J8" s="8"/>
      <c r="K8" s="9"/>
      <c r="M8" s="113" t="str">
        <f>Worksheet!FB18</f>
        <v>N/A</v>
      </c>
      <c r="N8" s="239" t="str">
        <f>Worksheet!FG18</f>
        <v>N/A</v>
      </c>
      <c r="O8" s="227" t="str">
        <f>Worksheet!FD18</f>
        <v>N/A</v>
      </c>
      <c r="P8" s="240" t="str">
        <f>IF(Worksheet!$EH$6="No","N/A",IF(M8="N/A",0,IF(O8&gt;$P$18,$N$18,IF(O8&lt;200,0,$N$17*(O8-200)/800))))</f>
        <v>N/A</v>
      </c>
      <c r="Q8" s="227" t="str">
        <f>Worksheet!FC18</f>
        <v>N/A</v>
      </c>
      <c r="R8" s="240" t="str">
        <f>IF(Worksheet!$EH$6="No","N/A",IF(M8="N/A",0,$N$19*(Q8/400)))</f>
        <v>N/A</v>
      </c>
    </row>
    <row r="9" spans="1:18">
      <c r="A9" s="7"/>
      <c r="B9" s="8"/>
      <c r="C9" s="8"/>
      <c r="D9" s="8"/>
      <c r="E9" s="8"/>
      <c r="F9" s="8"/>
      <c r="G9" s="8"/>
      <c r="H9" s="8"/>
      <c r="I9" s="8"/>
      <c r="J9" s="8"/>
      <c r="K9" s="9"/>
      <c r="M9" s="113" t="str">
        <f>Worksheet!FB19</f>
        <v>N/A</v>
      </c>
      <c r="N9" s="239" t="str">
        <f>Worksheet!FG19</f>
        <v>N/A</v>
      </c>
      <c r="O9" s="227" t="str">
        <f>Worksheet!FD19</f>
        <v>N/A</v>
      </c>
      <c r="P9" s="240" t="str">
        <f>IF(Worksheet!$EH$6="No","N/A",IF(M9="N/A",0,IF(O9&gt;$P$18,$N$18,IF(O9&lt;200,0,$N$17*(O9-200)/800))))</f>
        <v>N/A</v>
      </c>
      <c r="Q9" s="227" t="str">
        <f>Worksheet!FC19</f>
        <v>N/A</v>
      </c>
      <c r="R9" s="240" t="str">
        <f>IF(Worksheet!$EH$6="No","N/A",IF(M9="N/A",0,$N$19*(Q9/400)))</f>
        <v>N/A</v>
      </c>
    </row>
    <row r="10" spans="1:18">
      <c r="A10" s="7"/>
      <c r="B10" s="8"/>
      <c r="C10" s="8"/>
      <c r="D10" s="8"/>
      <c r="E10" s="8"/>
      <c r="F10" s="8"/>
      <c r="G10" s="8"/>
      <c r="H10" s="8"/>
      <c r="I10" s="8"/>
      <c r="J10" s="8"/>
      <c r="K10" s="9"/>
      <c r="M10" s="113" t="str">
        <f>Worksheet!FB20</f>
        <v>N/A</v>
      </c>
      <c r="N10" s="239" t="str">
        <f>Worksheet!FG20</f>
        <v>N/A</v>
      </c>
      <c r="O10" s="227" t="str">
        <f>Worksheet!FD20</f>
        <v>N/A</v>
      </c>
      <c r="P10" s="240" t="str">
        <f>IF(Worksheet!$EH$6="No","N/A",IF(M10="N/A",0,IF(O10&gt;$P$18,$N$18,IF(O10&lt;200,0,$N$17*(O10-200)/800))))</f>
        <v>N/A</v>
      </c>
      <c r="Q10" s="227" t="str">
        <f>Worksheet!FC20</f>
        <v>N/A</v>
      </c>
      <c r="R10" s="240" t="str">
        <f>IF(Worksheet!$EH$6="No","N/A",IF(M10="N/A",0,$N$19*(Q10/400)))</f>
        <v>N/A</v>
      </c>
    </row>
    <row r="11" spans="1:18">
      <c r="A11" s="7"/>
      <c r="B11" s="8"/>
      <c r="C11" s="8"/>
      <c r="D11" s="8"/>
      <c r="E11" s="8"/>
      <c r="F11" s="8"/>
      <c r="G11" s="8"/>
      <c r="H11" s="8"/>
      <c r="I11" s="8"/>
      <c r="J11" s="8"/>
      <c r="K11" s="9"/>
      <c r="M11" s="113" t="str">
        <f>Worksheet!FB21</f>
        <v>N/A</v>
      </c>
      <c r="N11" s="239" t="str">
        <f>Worksheet!FG21</f>
        <v>N/A</v>
      </c>
      <c r="O11" s="227" t="str">
        <f>Worksheet!FD21</f>
        <v>N/A</v>
      </c>
      <c r="P11" s="240" t="str">
        <f>IF(Worksheet!$EH$6="No","N/A",IF(M11="N/A",0,IF(O11&gt;$P$18,$N$18,IF(O11&lt;200,0,$N$17*(O11-200)/800))))</f>
        <v>N/A</v>
      </c>
      <c r="Q11" s="227" t="str">
        <f>Worksheet!FC21</f>
        <v>N/A</v>
      </c>
      <c r="R11" s="240" t="str">
        <f>IF(Worksheet!$EH$6="No","N/A",IF(M11="N/A",0,$N$19*(Q11/400)))</f>
        <v>N/A</v>
      </c>
    </row>
    <row r="12" spans="1:18">
      <c r="A12" s="7"/>
      <c r="B12" s="8"/>
      <c r="C12" s="8"/>
      <c r="D12" s="8"/>
      <c r="E12" s="8"/>
      <c r="F12" s="8"/>
      <c r="G12" s="8"/>
      <c r="H12" s="8"/>
      <c r="I12" s="8"/>
      <c r="J12" s="8"/>
      <c r="K12" s="9"/>
      <c r="M12" s="113" t="str">
        <f>Worksheet!FB22</f>
        <v>N/A</v>
      </c>
      <c r="N12" s="239" t="str">
        <f>Worksheet!FG22</f>
        <v>N/A</v>
      </c>
      <c r="O12" s="227" t="str">
        <f>Worksheet!FD22</f>
        <v>N/A</v>
      </c>
      <c r="P12" s="240" t="str">
        <f>IF(Worksheet!$EH$6="No","N/A",IF(M12="N/A",0,IF(O12&gt;$P$18,$N$18,IF(O12&lt;200,0,$N$17*(O12-200)/800))))</f>
        <v>N/A</v>
      </c>
      <c r="Q12" s="227" t="str">
        <f>Worksheet!FC22</f>
        <v>N/A</v>
      </c>
      <c r="R12" s="240" t="str">
        <f>IF(Worksheet!$EH$6="No","N/A",IF(M12="N/A",0,$N$19*(Q12/400)))</f>
        <v>N/A</v>
      </c>
    </row>
    <row r="13" spans="1:18">
      <c r="A13" s="7"/>
      <c r="B13" s="8"/>
      <c r="C13" s="8"/>
      <c r="D13" s="8"/>
      <c r="E13" s="8"/>
      <c r="F13" s="8"/>
      <c r="G13" s="8"/>
      <c r="H13" s="8"/>
      <c r="I13" s="8"/>
      <c r="J13" s="8"/>
      <c r="K13" s="9"/>
      <c r="M13" s="113" t="str">
        <f>Worksheet!FB23</f>
        <v>N/A</v>
      </c>
      <c r="N13" s="239" t="str">
        <f>Worksheet!FG23</f>
        <v>N/A</v>
      </c>
      <c r="O13" s="227" t="str">
        <f>Worksheet!FD23</f>
        <v>N/A</v>
      </c>
      <c r="P13" s="240" t="str">
        <f>IF(Worksheet!$EH$6="No","N/A",IF(M13="N/A",0,IF(O13&gt;$P$18,$N$18,IF(O13&lt;200,0,$N$17*(O13-200)/800))))</f>
        <v>N/A</v>
      </c>
      <c r="Q13" s="227" t="str">
        <f>Worksheet!FC23</f>
        <v>N/A</v>
      </c>
      <c r="R13" s="240" t="str">
        <f>IF(Worksheet!$EH$6="No","N/A",IF(M13="N/A",0,$N$19*(Q13/400)))</f>
        <v>N/A</v>
      </c>
    </row>
    <row r="14" spans="1:18">
      <c r="A14" s="7"/>
      <c r="B14" s="8"/>
      <c r="C14" s="8"/>
      <c r="D14" s="8"/>
      <c r="E14" s="8"/>
      <c r="F14" s="8"/>
      <c r="G14" s="8"/>
      <c r="H14" s="8"/>
      <c r="I14" s="8"/>
      <c r="J14" s="8"/>
      <c r="K14" s="9"/>
      <c r="M14" s="113" t="str">
        <f>Worksheet!FB24</f>
        <v>N/A</v>
      </c>
      <c r="N14" s="239" t="str">
        <f>Worksheet!FG24</f>
        <v>N/A</v>
      </c>
      <c r="O14" s="227" t="str">
        <f>Worksheet!FD24</f>
        <v>N/A</v>
      </c>
      <c r="P14" s="240" t="str">
        <f>IF(Worksheet!$EH$6="No","N/A",IF(M14="N/A",0,IF(O14&gt;$P$18,$N$18,IF(O14&lt;200,0,$N$17*(O14-200)/800))))</f>
        <v>N/A</v>
      </c>
      <c r="Q14" s="227" t="str">
        <f>Worksheet!FC24</f>
        <v>N/A</v>
      </c>
      <c r="R14" s="240" t="str">
        <f>IF(Worksheet!$EH$6="No","N/A",IF(M14="N/A",0,$N$19*(Q14/400)))</f>
        <v>N/A</v>
      </c>
    </row>
    <row r="15" spans="1:18">
      <c r="A15" s="7"/>
      <c r="B15" s="8"/>
      <c r="C15" s="8"/>
      <c r="D15" s="8"/>
      <c r="E15" s="8"/>
      <c r="F15" s="8"/>
      <c r="G15" s="8"/>
      <c r="H15" s="8"/>
      <c r="I15" s="8"/>
      <c r="J15" s="8"/>
      <c r="K15" s="9"/>
      <c r="M15" s="113" t="str">
        <f>Worksheet!FB25</f>
        <v>N/A</v>
      </c>
      <c r="N15" s="239" t="str">
        <f>Worksheet!FG25</f>
        <v>N/A</v>
      </c>
      <c r="O15" s="227" t="str">
        <f>Worksheet!FD25</f>
        <v>N/A</v>
      </c>
      <c r="P15" s="240" t="str">
        <f>IF(Worksheet!$EH$6="No","N/A",IF(M15="N/A",0,IF(O15&gt;$P$18,$N$18,IF(O15&lt;200,0,$N$17*(O15-200)/800))))</f>
        <v>N/A</v>
      </c>
      <c r="Q15" s="227" t="str">
        <f>Worksheet!FC25</f>
        <v>N/A</v>
      </c>
      <c r="R15" s="240" t="str">
        <f>IF(Worksheet!$EH$6="No","N/A",IF(M15="N/A",0,$N$19*(Q15/400)))</f>
        <v>N/A</v>
      </c>
    </row>
    <row r="16" spans="1:18">
      <c r="A16" s="7"/>
      <c r="B16" s="8"/>
      <c r="C16" s="8"/>
      <c r="D16" s="8"/>
      <c r="E16" s="8"/>
      <c r="F16" s="8"/>
      <c r="G16" s="8"/>
      <c r="H16" s="8"/>
      <c r="I16" s="8"/>
      <c r="J16" s="8"/>
      <c r="K16" s="9"/>
      <c r="M16" s="228"/>
      <c r="N16" s="228"/>
      <c r="O16" s="228"/>
      <c r="P16" s="228"/>
      <c r="Q16" s="228"/>
      <c r="R16" s="228"/>
    </row>
    <row r="17" spans="1:18">
      <c r="A17" s="7"/>
      <c r="B17" s="8"/>
      <c r="C17" s="8"/>
      <c r="D17" s="8"/>
      <c r="E17" s="8"/>
      <c r="F17" s="8"/>
      <c r="G17" s="8"/>
      <c r="H17" s="8"/>
      <c r="I17" s="8"/>
      <c r="J17" s="8"/>
      <c r="K17" s="9"/>
      <c r="M17" s="228"/>
      <c r="N17" s="228">
        <v>5.18</v>
      </c>
      <c r="O17" s="228" t="s">
        <v>405</v>
      </c>
      <c r="P17" s="228"/>
      <c r="Q17" s="228"/>
      <c r="R17" s="228"/>
    </row>
    <row r="18" spans="1:18">
      <c r="A18" s="7"/>
      <c r="B18" s="8"/>
      <c r="C18" s="8"/>
      <c r="D18" s="8"/>
      <c r="E18" s="8"/>
      <c r="F18" s="8"/>
      <c r="G18" s="8"/>
      <c r="H18" s="8"/>
      <c r="I18" s="8"/>
      <c r="J18" s="8"/>
      <c r="K18" s="9"/>
      <c r="M18" s="232"/>
      <c r="N18" s="228">
        <v>5.49</v>
      </c>
      <c r="O18" s="228" t="s">
        <v>404</v>
      </c>
      <c r="P18" s="230">
        <f>(800*N18+N17*200)/N17</f>
        <v>1047.8764478764479</v>
      </c>
      <c r="Q18" s="228"/>
      <c r="R18" s="228"/>
    </row>
    <row r="19" spans="1:18">
      <c r="A19" s="7"/>
      <c r="B19" s="8"/>
      <c r="C19" s="8"/>
      <c r="D19" s="8"/>
      <c r="E19" s="8"/>
      <c r="F19" s="8"/>
      <c r="G19" s="8"/>
      <c r="H19" s="8"/>
      <c r="I19" s="8"/>
      <c r="J19" s="8"/>
      <c r="K19" s="9"/>
      <c r="M19" s="228"/>
      <c r="N19" s="228">
        <v>2.35</v>
      </c>
      <c r="O19" s="228" t="s">
        <v>406</v>
      </c>
      <c r="P19" s="228"/>
      <c r="Q19" s="228"/>
      <c r="R19" s="228"/>
    </row>
    <row r="20" spans="1:18">
      <c r="A20" s="7"/>
      <c r="B20" s="8"/>
      <c r="C20" s="8"/>
      <c r="D20" s="8"/>
      <c r="E20" s="8"/>
      <c r="F20" s="8"/>
      <c r="G20" s="8"/>
      <c r="H20" s="8"/>
      <c r="I20" s="8"/>
      <c r="J20" s="8"/>
      <c r="K20" s="9"/>
    </row>
    <row r="21" spans="1:18">
      <c r="A21" s="7"/>
      <c r="B21" s="8"/>
      <c r="C21" s="8"/>
      <c r="D21" s="8"/>
      <c r="E21" s="8"/>
      <c r="F21" s="8"/>
      <c r="G21" s="8"/>
      <c r="H21" s="8"/>
      <c r="I21" s="8"/>
      <c r="J21" s="8"/>
      <c r="K21" s="9"/>
    </row>
    <row r="22" spans="1:18">
      <c r="A22" s="7"/>
      <c r="B22" s="8"/>
      <c r="C22" s="8"/>
      <c r="D22" s="8"/>
      <c r="E22" s="8"/>
      <c r="F22" s="8"/>
      <c r="G22" s="8"/>
      <c r="H22" s="8"/>
      <c r="I22" s="8"/>
      <c r="J22" s="8"/>
      <c r="K22" s="9"/>
    </row>
    <row r="23" spans="1:18">
      <c r="A23" s="7"/>
      <c r="B23" s="8"/>
      <c r="C23" s="8"/>
      <c r="D23" s="8"/>
      <c r="E23" s="8"/>
      <c r="F23" s="8"/>
      <c r="G23" s="8"/>
      <c r="H23" s="8"/>
      <c r="I23" s="8"/>
      <c r="J23" s="8"/>
      <c r="K23" s="9"/>
    </row>
    <row r="24" spans="1:18">
      <c r="A24" s="7"/>
      <c r="B24" s="8"/>
      <c r="C24" s="8"/>
      <c r="D24" s="8"/>
      <c r="E24" s="8"/>
      <c r="F24" s="8"/>
      <c r="G24" s="8"/>
      <c r="H24" s="8"/>
      <c r="I24" s="8"/>
      <c r="J24" s="8"/>
      <c r="K24" s="9"/>
    </row>
    <row r="25" spans="1:18">
      <c r="A25" s="7"/>
      <c r="B25" s="8"/>
      <c r="C25" s="8"/>
      <c r="D25" s="8"/>
      <c r="E25" s="8"/>
      <c r="F25" s="8"/>
      <c r="G25" s="8"/>
      <c r="H25" s="8"/>
      <c r="I25" s="8"/>
      <c r="J25" s="8"/>
      <c r="K25" s="9"/>
    </row>
    <row r="26" spans="1:18">
      <c r="A26" s="7"/>
      <c r="B26" s="8"/>
      <c r="C26" s="8"/>
      <c r="D26" s="8"/>
      <c r="E26" s="8"/>
      <c r="F26" s="8"/>
      <c r="G26" s="8"/>
      <c r="H26" s="8"/>
      <c r="I26" s="8"/>
      <c r="J26" s="8"/>
      <c r="K26" s="9"/>
    </row>
    <row r="27" spans="1:18">
      <c r="A27" s="7"/>
      <c r="B27" s="8"/>
      <c r="C27" s="8"/>
      <c r="D27" s="8"/>
      <c r="E27" s="8"/>
      <c r="F27" s="8"/>
      <c r="G27" s="8"/>
      <c r="H27" s="8"/>
      <c r="I27" s="8"/>
      <c r="J27" s="8"/>
      <c r="K27" s="9"/>
    </row>
    <row r="28" spans="1:18">
      <c r="A28" s="7"/>
      <c r="B28" s="8"/>
      <c r="C28" s="8"/>
      <c r="D28" s="8"/>
      <c r="E28" s="8"/>
      <c r="F28" s="8"/>
      <c r="G28" s="8"/>
      <c r="H28" s="8"/>
      <c r="I28" s="8"/>
      <c r="J28" s="8"/>
      <c r="K28" s="9"/>
    </row>
    <row r="29" spans="1:18">
      <c r="A29" s="7"/>
      <c r="B29" s="8"/>
      <c r="C29" s="8"/>
      <c r="D29" s="8"/>
      <c r="E29" s="8"/>
      <c r="F29" s="8"/>
      <c r="G29" s="8"/>
      <c r="H29" s="8"/>
      <c r="I29" s="8"/>
      <c r="J29" s="8"/>
      <c r="K29" s="9"/>
    </row>
    <row r="30" spans="1:18">
      <c r="A30" s="7"/>
      <c r="B30" s="8"/>
      <c r="C30" s="8"/>
      <c r="D30" s="8"/>
      <c r="E30" s="8"/>
      <c r="F30" s="8"/>
      <c r="G30" s="8"/>
      <c r="H30" s="8"/>
      <c r="I30" s="8"/>
      <c r="J30" s="8"/>
      <c r="K30" s="9"/>
    </row>
    <row r="31" spans="1:18">
      <c r="A31" s="7"/>
      <c r="B31" s="8"/>
      <c r="C31" s="8"/>
      <c r="D31" s="8"/>
      <c r="E31" s="8"/>
      <c r="F31" s="8"/>
      <c r="G31" s="8"/>
      <c r="H31" s="8"/>
      <c r="I31" s="8"/>
      <c r="J31" s="8"/>
      <c r="K31" s="9"/>
    </row>
    <row r="32" spans="1:18">
      <c r="A32" s="7"/>
      <c r="B32" s="8"/>
      <c r="C32" s="8"/>
      <c r="D32" s="8"/>
      <c r="E32" s="8"/>
      <c r="F32" s="8"/>
      <c r="G32" s="8"/>
      <c r="H32" s="8"/>
      <c r="I32" s="8"/>
      <c r="J32" s="8"/>
      <c r="K32" s="9"/>
    </row>
    <row r="33" spans="1:18">
      <c r="A33" s="7"/>
      <c r="B33" s="8"/>
      <c r="C33" s="8"/>
      <c r="D33" s="8"/>
      <c r="E33" s="8"/>
      <c r="F33" s="8"/>
      <c r="G33" s="8"/>
      <c r="H33" s="8"/>
      <c r="I33" s="8"/>
      <c r="J33" s="8"/>
      <c r="K33" s="9"/>
    </row>
    <row r="34" spans="1:18">
      <c r="A34" s="7"/>
      <c r="B34" s="8"/>
      <c r="C34" s="8"/>
      <c r="D34" s="8"/>
      <c r="E34" s="8"/>
      <c r="F34" s="8"/>
      <c r="G34" s="8"/>
      <c r="H34" s="8"/>
      <c r="I34" s="8"/>
      <c r="J34" s="8"/>
      <c r="K34" s="9"/>
    </row>
    <row r="35" spans="1:18">
      <c r="A35" s="7"/>
      <c r="B35" s="8"/>
      <c r="C35" s="8"/>
      <c r="D35" s="8"/>
      <c r="E35" s="8"/>
      <c r="F35" s="8"/>
      <c r="G35" s="8"/>
      <c r="H35" s="8"/>
      <c r="I35" s="8"/>
      <c r="J35" s="8"/>
      <c r="K35" s="9"/>
      <c r="M35" s="227"/>
      <c r="N35" s="227" t="s">
        <v>171</v>
      </c>
      <c r="O35" s="227" t="s">
        <v>156</v>
      </c>
      <c r="P35" s="227"/>
      <c r="Q35" s="227" t="s">
        <v>30</v>
      </c>
      <c r="R35" s="227"/>
    </row>
    <row r="36" spans="1:18">
      <c r="A36" s="7"/>
      <c r="B36" s="8"/>
      <c r="C36" s="8"/>
      <c r="D36" s="8"/>
      <c r="E36" s="8"/>
      <c r="F36" s="8"/>
      <c r="G36" s="8"/>
      <c r="H36" s="8"/>
      <c r="I36" s="8"/>
      <c r="J36" s="8"/>
      <c r="K36" s="9"/>
      <c r="M36" s="227"/>
      <c r="N36" s="227" t="s">
        <v>400</v>
      </c>
      <c r="O36" s="227" t="s">
        <v>401</v>
      </c>
      <c r="P36" s="227" t="s">
        <v>402</v>
      </c>
      <c r="Q36" s="227" t="s">
        <v>409</v>
      </c>
      <c r="R36" s="227" t="s">
        <v>402</v>
      </c>
    </row>
    <row r="37" spans="1:18">
      <c r="A37" s="7"/>
      <c r="B37" s="8"/>
      <c r="C37" s="8"/>
      <c r="D37" s="8"/>
      <c r="E37" s="8"/>
      <c r="F37" s="8"/>
      <c r="G37" s="8"/>
      <c r="H37" s="8"/>
      <c r="I37" s="8"/>
      <c r="J37" s="8"/>
      <c r="K37" s="9"/>
      <c r="M37" s="227" t="s">
        <v>397</v>
      </c>
      <c r="N37" s="227" t="s">
        <v>165</v>
      </c>
      <c r="O37" s="227" t="s">
        <v>171</v>
      </c>
      <c r="P37" s="227" t="s">
        <v>403</v>
      </c>
      <c r="Q37" s="231" t="s">
        <v>156</v>
      </c>
      <c r="R37" s="227" t="s">
        <v>403</v>
      </c>
    </row>
    <row r="38" spans="1:18">
      <c r="A38" s="7"/>
      <c r="B38" s="8"/>
      <c r="C38" s="8"/>
      <c r="D38" s="8"/>
      <c r="E38" s="8"/>
      <c r="F38" s="8"/>
      <c r="G38" s="8"/>
      <c r="H38" s="8"/>
      <c r="I38" s="8"/>
      <c r="J38" s="8"/>
      <c r="K38" s="9"/>
      <c r="M38" s="113" t="str">
        <f>Worksheet!FB18</f>
        <v>N/A</v>
      </c>
      <c r="N38" s="239" t="str">
        <f>Worksheet!FH18</f>
        <v>N/A</v>
      </c>
      <c r="O38" s="227" t="str">
        <f>Worksheet!FD18</f>
        <v>N/A</v>
      </c>
      <c r="P38" s="240" t="str">
        <f>IF(Worksheet!$EH$6="No","N/A",IF(M38="N/A",0,IF(O38&gt;$P$48,$N$48,IF(O38&lt;200,0,$N$47*(O38-200)/1000))))</f>
        <v>N/A</v>
      </c>
      <c r="Q38" s="227" t="str">
        <f>Worksheet!FC18</f>
        <v>N/A</v>
      </c>
      <c r="R38" s="240" t="str">
        <f>IF(Worksheet!$EH$6="No","N/A",IF(M38="N/A",0,$N$49*(Q38/500)))</f>
        <v>N/A</v>
      </c>
    </row>
    <row r="39" spans="1:18">
      <c r="A39" s="7"/>
      <c r="B39" s="8"/>
      <c r="C39" s="8"/>
      <c r="D39" s="8"/>
      <c r="E39" s="8"/>
      <c r="F39" s="8"/>
      <c r="G39" s="8"/>
      <c r="H39" s="8"/>
      <c r="I39" s="8"/>
      <c r="J39" s="8"/>
      <c r="K39" s="9"/>
      <c r="M39" s="113" t="str">
        <f>Worksheet!FB19</f>
        <v>N/A</v>
      </c>
      <c r="N39" s="239" t="str">
        <f>Worksheet!FH19</f>
        <v>N/A</v>
      </c>
      <c r="O39" s="227" t="str">
        <f>Worksheet!FD19</f>
        <v>N/A</v>
      </c>
      <c r="P39" s="240" t="str">
        <f>IF(Worksheet!$EH$6="No","N/A",IF(M39="N/A",0,IF(O39&gt;$P$48,$N$48,IF(O39&lt;200,0,$N$47*(O39-200)/1000))))</f>
        <v>N/A</v>
      </c>
      <c r="Q39" s="227" t="str">
        <f>Worksheet!FC19</f>
        <v>N/A</v>
      </c>
      <c r="R39" s="240" t="str">
        <f>IF(Worksheet!$EH$6="No","N/A",IF(M39="N/A",0,$N$49*(Q39/500)))</f>
        <v>N/A</v>
      </c>
    </row>
    <row r="40" spans="1:18">
      <c r="A40" s="7"/>
      <c r="B40" s="8"/>
      <c r="C40" s="8"/>
      <c r="D40" s="8"/>
      <c r="E40" s="8"/>
      <c r="F40" s="8"/>
      <c r="G40" s="8"/>
      <c r="H40" s="8"/>
      <c r="I40" s="8"/>
      <c r="J40" s="8"/>
      <c r="K40" s="9"/>
      <c r="M40" s="113" t="str">
        <f>Worksheet!FB20</f>
        <v>N/A</v>
      </c>
      <c r="N40" s="239" t="str">
        <f>Worksheet!FH20</f>
        <v>N/A</v>
      </c>
      <c r="O40" s="227" t="str">
        <f>Worksheet!FD20</f>
        <v>N/A</v>
      </c>
      <c r="P40" s="240" t="str">
        <f>IF(Worksheet!$EH$6="No","N/A",IF(M40="N/A",0,IF(O40&gt;$P$48,$N$48,IF(O40&lt;200,0,$N$47*(O40-200)/1000))))</f>
        <v>N/A</v>
      </c>
      <c r="Q40" s="227" t="str">
        <f>Worksheet!FC20</f>
        <v>N/A</v>
      </c>
      <c r="R40" s="240" t="str">
        <f>IF(Worksheet!$EH$6="No","N/A",IF(M40="N/A",0,$N$49*(Q40/500)))</f>
        <v>N/A</v>
      </c>
    </row>
    <row r="41" spans="1:18">
      <c r="A41" s="7"/>
      <c r="B41" s="8"/>
      <c r="C41" s="8"/>
      <c r="D41" s="8"/>
      <c r="E41" s="8"/>
      <c r="F41" s="8"/>
      <c r="G41" s="8"/>
      <c r="H41" s="8"/>
      <c r="I41" s="8"/>
      <c r="J41" s="8"/>
      <c r="K41" s="9"/>
      <c r="M41" s="113" t="str">
        <f>Worksheet!FB21</f>
        <v>N/A</v>
      </c>
      <c r="N41" s="239" t="str">
        <f>Worksheet!FH21</f>
        <v>N/A</v>
      </c>
      <c r="O41" s="227" t="str">
        <f>Worksheet!FD21</f>
        <v>N/A</v>
      </c>
      <c r="P41" s="240" t="str">
        <f>IF(Worksheet!$EH$6="No","N/A",IF(M41="N/A",0,IF(O41&gt;$P$48,$N$48,IF(O41&lt;200,0,$N$47*(O41-200)/1000))))</f>
        <v>N/A</v>
      </c>
      <c r="Q41" s="227" t="str">
        <f>Worksheet!FC21</f>
        <v>N/A</v>
      </c>
      <c r="R41" s="240" t="str">
        <f>IF(Worksheet!$EH$6="No","N/A",IF(M41="N/A",0,$N$49*(Q41/500)))</f>
        <v>N/A</v>
      </c>
    </row>
    <row r="42" spans="1:18">
      <c r="A42" s="7"/>
      <c r="B42" s="8"/>
      <c r="C42" s="8"/>
      <c r="D42" s="8"/>
      <c r="E42" s="8"/>
      <c r="F42" s="8"/>
      <c r="G42" s="8"/>
      <c r="H42" s="8"/>
      <c r="I42" s="8"/>
      <c r="J42" s="8"/>
      <c r="K42" s="9"/>
      <c r="M42" s="113" t="str">
        <f>Worksheet!FB22</f>
        <v>N/A</v>
      </c>
      <c r="N42" s="239" t="str">
        <f>Worksheet!FH22</f>
        <v>N/A</v>
      </c>
      <c r="O42" s="227" t="str">
        <f>Worksheet!FD22</f>
        <v>N/A</v>
      </c>
      <c r="P42" s="240" t="str">
        <f>IF(Worksheet!$EH$6="No","N/A",IF(M42="N/A",0,IF(O42&gt;$P$48,$N$48,IF(O42&lt;200,0,$N$47*(O42-200)/1000))))</f>
        <v>N/A</v>
      </c>
      <c r="Q42" s="227" t="str">
        <f>Worksheet!FC22</f>
        <v>N/A</v>
      </c>
      <c r="R42" s="240" t="str">
        <f>IF(Worksheet!$EH$6="No","N/A",IF(M42="N/A",0,$N$49*(Q42/500)))</f>
        <v>N/A</v>
      </c>
    </row>
    <row r="43" spans="1:18">
      <c r="A43" s="7"/>
      <c r="B43" s="8"/>
      <c r="C43" s="8"/>
      <c r="D43" s="8"/>
      <c r="E43" s="8"/>
      <c r="F43" s="8"/>
      <c r="G43" s="8"/>
      <c r="H43" s="8"/>
      <c r="I43" s="8"/>
      <c r="J43" s="8"/>
      <c r="K43" s="9"/>
      <c r="M43" s="113" t="str">
        <f>Worksheet!FB23</f>
        <v>N/A</v>
      </c>
      <c r="N43" s="239" t="str">
        <f>Worksheet!FH23</f>
        <v>N/A</v>
      </c>
      <c r="O43" s="227" t="str">
        <f>Worksheet!FD23</f>
        <v>N/A</v>
      </c>
      <c r="P43" s="240" t="str">
        <f>IF(Worksheet!$EH$6="No","N/A",IF(M43="N/A",0,IF(O43&gt;$P$48,$N$48,IF(O43&lt;200,0,$N$47*(O43-200)/1000))))</f>
        <v>N/A</v>
      </c>
      <c r="Q43" s="227" t="str">
        <f>Worksheet!FC23</f>
        <v>N/A</v>
      </c>
      <c r="R43" s="240" t="str">
        <f>IF(Worksheet!$EH$6="No","N/A",IF(M43="N/A",0,$N$49*(Q43/500)))</f>
        <v>N/A</v>
      </c>
    </row>
    <row r="44" spans="1:18">
      <c r="A44" s="7"/>
      <c r="B44" s="8"/>
      <c r="C44" s="8"/>
      <c r="D44" s="8"/>
      <c r="E44" s="8"/>
      <c r="F44" s="8"/>
      <c r="G44" s="8"/>
      <c r="H44" s="8"/>
      <c r="I44" s="8"/>
      <c r="J44" s="8"/>
      <c r="K44" s="9"/>
      <c r="M44" s="113" t="str">
        <f>Worksheet!FB24</f>
        <v>N/A</v>
      </c>
      <c r="N44" s="239" t="str">
        <f>Worksheet!FH24</f>
        <v>N/A</v>
      </c>
      <c r="O44" s="227" t="str">
        <f>Worksheet!FD24</f>
        <v>N/A</v>
      </c>
      <c r="P44" s="240" t="str">
        <f>IF(Worksheet!$EH$6="No","N/A",IF(M44="N/A",0,IF(O44&gt;$P$48,$N$48,IF(O44&lt;200,0,$N$47*(O44-200)/1000))))</f>
        <v>N/A</v>
      </c>
      <c r="Q44" s="227" t="str">
        <f>Worksheet!FC24</f>
        <v>N/A</v>
      </c>
      <c r="R44" s="240" t="str">
        <f>IF(Worksheet!$EH$6="No","N/A",IF(M44="N/A",0,$N$49*(Q44/500)))</f>
        <v>N/A</v>
      </c>
    </row>
    <row r="45" spans="1:18">
      <c r="A45" s="7"/>
      <c r="B45" s="8"/>
      <c r="C45" s="8"/>
      <c r="D45" s="8"/>
      <c r="E45" s="8"/>
      <c r="F45" s="8"/>
      <c r="G45" s="8"/>
      <c r="H45" s="8"/>
      <c r="I45" s="8"/>
      <c r="J45" s="8"/>
      <c r="K45" s="9"/>
      <c r="M45" s="113" t="str">
        <f>Worksheet!FB25</f>
        <v>N/A</v>
      </c>
      <c r="N45" s="239" t="str">
        <f>Worksheet!FH25</f>
        <v>N/A</v>
      </c>
      <c r="O45" s="227" t="str">
        <f>Worksheet!FD25</f>
        <v>N/A</v>
      </c>
      <c r="P45" s="240" t="str">
        <f>IF(Worksheet!$EH$6="No","N/A",IF(M45="N/A",0,IF(O45&gt;$P$48,$N$48,IF(O45&lt;200,0,$N$47*(O45-200)/1000))))</f>
        <v>N/A</v>
      </c>
      <c r="Q45" s="227" t="str">
        <f>Worksheet!FC25</f>
        <v>N/A</v>
      </c>
      <c r="R45" s="240" t="str">
        <f>IF(Worksheet!$EH$6="No","N/A",IF(M45="N/A",0,$N$49*(Q45/500)))</f>
        <v>N/A</v>
      </c>
    </row>
    <row r="46" spans="1:18">
      <c r="A46" s="7"/>
      <c r="B46" s="8"/>
      <c r="C46" s="8"/>
      <c r="D46" s="8"/>
      <c r="E46" s="8"/>
      <c r="F46" s="8"/>
      <c r="G46" s="8"/>
      <c r="H46" s="8"/>
      <c r="I46" s="8"/>
      <c r="J46" s="8"/>
      <c r="K46" s="9"/>
      <c r="M46" s="228"/>
      <c r="N46" s="228"/>
      <c r="O46" s="228"/>
      <c r="P46" s="228"/>
      <c r="Q46" s="228"/>
      <c r="R46" s="228"/>
    </row>
    <row r="47" spans="1:18">
      <c r="A47" s="7"/>
      <c r="B47" s="8"/>
      <c r="C47" s="8"/>
      <c r="D47" s="8"/>
      <c r="E47" s="8"/>
      <c r="F47" s="8"/>
      <c r="G47" s="8"/>
      <c r="H47" s="8"/>
      <c r="I47" s="8"/>
      <c r="J47" s="8"/>
      <c r="K47" s="9"/>
      <c r="M47" s="228"/>
      <c r="N47" s="228">
        <v>5.14</v>
      </c>
      <c r="O47" s="228" t="s">
        <v>405</v>
      </c>
      <c r="P47" s="228"/>
      <c r="Q47" s="228"/>
      <c r="R47" s="228"/>
    </row>
    <row r="48" spans="1:18">
      <c r="A48" s="7"/>
      <c r="B48" s="8"/>
      <c r="C48" s="8"/>
      <c r="D48" s="8"/>
      <c r="E48" s="8"/>
      <c r="F48" s="8"/>
      <c r="G48" s="8"/>
      <c r="H48" s="8"/>
      <c r="I48" s="8"/>
      <c r="J48" s="8"/>
      <c r="K48" s="9"/>
      <c r="M48" s="232"/>
      <c r="N48" s="228">
        <v>5.5</v>
      </c>
      <c r="O48" s="228" t="s">
        <v>404</v>
      </c>
      <c r="P48" s="230">
        <f>(1000*N48+N47*200)/N47</f>
        <v>1270.0389105058366</v>
      </c>
      <c r="Q48" s="228"/>
      <c r="R48" s="228"/>
    </row>
    <row r="49" spans="1:18">
      <c r="A49" s="7"/>
      <c r="B49" s="8"/>
      <c r="C49" s="8"/>
      <c r="D49" s="8"/>
      <c r="E49" s="8"/>
      <c r="F49" s="8"/>
      <c r="G49" s="8"/>
      <c r="H49" s="8"/>
      <c r="I49" s="8"/>
      <c r="J49" s="8"/>
      <c r="K49" s="9"/>
      <c r="M49" s="228"/>
      <c r="N49" s="228">
        <v>2.34</v>
      </c>
      <c r="O49" s="228" t="s">
        <v>406</v>
      </c>
      <c r="P49" s="228"/>
      <c r="Q49" s="228"/>
      <c r="R49" s="228"/>
    </row>
    <row r="50" spans="1:18">
      <c r="A50" s="7"/>
      <c r="B50" s="8"/>
      <c r="C50" s="8"/>
      <c r="D50" s="8"/>
      <c r="E50" s="8"/>
      <c r="F50" s="8"/>
      <c r="G50" s="8"/>
      <c r="H50" s="8"/>
      <c r="I50" s="8"/>
      <c r="J50" s="8"/>
      <c r="K50" s="9"/>
    </row>
    <row r="51" spans="1:18">
      <c r="A51" s="7"/>
      <c r="B51" s="8"/>
      <c r="C51" s="8"/>
      <c r="D51" s="8"/>
      <c r="E51" s="8"/>
      <c r="F51" s="8"/>
      <c r="G51" s="8"/>
      <c r="H51" s="8"/>
      <c r="I51" s="8"/>
      <c r="J51" s="8"/>
      <c r="K51" s="9"/>
    </row>
    <row r="52" spans="1:18">
      <c r="A52" s="7"/>
      <c r="B52" s="8"/>
      <c r="C52" s="8"/>
      <c r="D52" s="8"/>
      <c r="E52" s="8"/>
      <c r="F52" s="8"/>
      <c r="G52" s="8"/>
      <c r="H52" s="8"/>
      <c r="I52" s="8"/>
      <c r="J52" s="8"/>
      <c r="K52" s="9"/>
    </row>
    <row r="53" spans="1:18">
      <c r="A53" s="7"/>
      <c r="B53" s="8"/>
      <c r="C53" s="8"/>
      <c r="D53" s="8"/>
      <c r="E53" s="8"/>
      <c r="F53" s="8"/>
      <c r="G53" s="8"/>
      <c r="H53" s="8"/>
      <c r="I53" s="8"/>
      <c r="J53" s="8"/>
      <c r="K53" s="9"/>
    </row>
    <row r="54" spans="1:18">
      <c r="A54" s="7"/>
      <c r="B54" s="8"/>
      <c r="C54" s="8"/>
      <c r="D54" s="8"/>
      <c r="E54" s="8"/>
      <c r="F54" s="8"/>
      <c r="G54" s="8"/>
      <c r="H54" s="8"/>
      <c r="I54" s="8"/>
      <c r="J54" s="8"/>
      <c r="K54" s="9"/>
    </row>
    <row r="55" spans="1:18">
      <c r="A55" s="7"/>
      <c r="B55" s="8"/>
      <c r="C55" s="8"/>
      <c r="D55" s="8"/>
      <c r="E55" s="8"/>
      <c r="F55" s="8"/>
      <c r="G55" s="8"/>
      <c r="H55" s="8"/>
      <c r="I55" s="8"/>
      <c r="J55" s="8"/>
      <c r="K55" s="9"/>
    </row>
    <row r="56" spans="1:18">
      <c r="A56" s="7"/>
      <c r="B56" s="8"/>
      <c r="C56" s="8"/>
      <c r="D56" s="8"/>
      <c r="E56" s="8"/>
      <c r="F56" s="8"/>
      <c r="G56" s="8"/>
      <c r="H56" s="8"/>
      <c r="I56" s="8"/>
      <c r="J56" s="8"/>
      <c r="K56" s="9"/>
    </row>
    <row r="57" spans="1:18">
      <c r="A57" s="7"/>
      <c r="B57" s="8"/>
      <c r="C57" s="8"/>
      <c r="D57" s="8"/>
      <c r="E57" s="8"/>
      <c r="F57" s="8"/>
      <c r="G57" s="8"/>
      <c r="H57" s="8"/>
      <c r="I57" s="8"/>
      <c r="J57" s="8"/>
      <c r="K57" s="9"/>
    </row>
    <row r="58" spans="1:18">
      <c r="A58" s="7"/>
      <c r="B58" s="8"/>
      <c r="C58" s="8"/>
      <c r="D58" s="8"/>
      <c r="E58" s="8"/>
      <c r="F58" s="8"/>
      <c r="G58" s="8"/>
      <c r="H58" s="8"/>
      <c r="I58" s="8"/>
      <c r="J58" s="8"/>
      <c r="K58" s="9"/>
    </row>
    <row r="59" spans="1:18">
      <c r="A59" s="7"/>
      <c r="B59" s="8"/>
      <c r="C59" s="8"/>
      <c r="D59" s="8"/>
      <c r="E59" s="8"/>
      <c r="F59" s="8"/>
      <c r="G59" s="8"/>
      <c r="H59" s="8"/>
      <c r="I59" s="8"/>
      <c r="J59" s="8"/>
      <c r="K59" s="9"/>
    </row>
    <row r="60" spans="1:18">
      <c r="A60" s="7"/>
      <c r="B60" s="8"/>
      <c r="C60" s="8"/>
      <c r="D60" s="8"/>
      <c r="E60" s="8"/>
      <c r="F60" s="8"/>
      <c r="G60" s="8"/>
      <c r="H60" s="8"/>
      <c r="I60" s="8"/>
      <c r="J60" s="8"/>
      <c r="K60" s="9"/>
    </row>
    <row r="61" spans="1:18" ht="13.5" thickBot="1">
      <c r="A61" s="27"/>
      <c r="B61" s="10"/>
      <c r="C61" s="10"/>
      <c r="D61" s="10"/>
      <c r="E61" s="10"/>
      <c r="F61" s="10"/>
      <c r="G61" s="10"/>
      <c r="H61" s="10"/>
      <c r="I61" s="10"/>
      <c r="J61" s="10"/>
      <c r="K61" s="11"/>
    </row>
    <row r="62" spans="1:18">
      <c r="A62" s="8"/>
      <c r="B62" s="8"/>
      <c r="C62" s="8"/>
      <c r="D62" s="8"/>
      <c r="E62" s="8"/>
      <c r="F62" s="8"/>
      <c r="G62" s="8"/>
      <c r="H62" s="8"/>
      <c r="I62" s="8"/>
      <c r="J62" s="8"/>
      <c r="K62" s="8"/>
      <c r="L62" s="8"/>
    </row>
    <row r="63" spans="1:18">
      <c r="A63" s="8"/>
      <c r="B63" s="8"/>
      <c r="C63" s="8"/>
      <c r="D63" s="8"/>
      <c r="E63" s="8"/>
      <c r="F63" s="8"/>
      <c r="G63" s="8"/>
      <c r="H63" s="8"/>
      <c r="I63" s="8"/>
      <c r="J63" s="8"/>
      <c r="K63" s="8"/>
      <c r="L63" s="8"/>
    </row>
    <row r="64" spans="1:18">
      <c r="A64" s="8"/>
      <c r="B64" s="8"/>
      <c r="C64" s="8"/>
      <c r="D64" s="8"/>
      <c r="E64" s="8"/>
      <c r="F64" s="8"/>
      <c r="G64" s="8"/>
      <c r="H64" s="8"/>
      <c r="I64" s="8"/>
      <c r="J64" s="8"/>
      <c r="K64" s="8"/>
      <c r="L64" s="8"/>
    </row>
    <row r="65" spans="1:12">
      <c r="A65" s="8"/>
      <c r="B65" s="8"/>
      <c r="C65" s="8"/>
      <c r="D65" s="8"/>
      <c r="E65" s="8"/>
      <c r="F65" s="8"/>
      <c r="G65" s="8"/>
      <c r="H65" s="8"/>
      <c r="I65" s="8"/>
      <c r="J65" s="8"/>
      <c r="K65" s="8"/>
      <c r="L65" s="8"/>
    </row>
  </sheetData>
  <sheetProtection password="E0BD" sheet="1" objects="1" scenarios="1"/>
  <conditionalFormatting sqref="N8:N15">
    <cfRule type="cellIs" dxfId="25" priority="8" stopIfTrue="1" operator="greaterThanOrEqual">
      <formula>5</formula>
    </cfRule>
    <cfRule type="cellIs" dxfId="24" priority="9" stopIfTrue="1" operator="lessThanOrEqual">
      <formula>-8</formula>
    </cfRule>
    <cfRule type="cellIs" dxfId="23" priority="10" stopIfTrue="1" operator="between">
      <formula>-8</formula>
      <formula>5</formula>
    </cfRule>
  </conditionalFormatting>
  <conditionalFormatting sqref="N38:N45">
    <cfRule type="cellIs" dxfId="22" priority="5" stopIfTrue="1" operator="greaterThanOrEqual">
      <formula>5</formula>
    </cfRule>
    <cfRule type="cellIs" dxfId="21" priority="6" stopIfTrue="1" operator="lessThanOrEqual">
      <formula>-10</formula>
    </cfRule>
    <cfRule type="cellIs" dxfId="20" priority="7" stopIfTrue="1" operator="between">
      <formula>-10</formula>
      <formula>5</formula>
    </cfRule>
  </conditionalFormatting>
  <conditionalFormatting sqref="N38:N45">
    <cfRule type="cellIs" dxfId="19" priority="2" stopIfTrue="1" operator="greaterThanOrEqual">
      <formula>5</formula>
    </cfRule>
    <cfRule type="cellIs" dxfId="18" priority="3" stopIfTrue="1" operator="lessThanOrEqual">
      <formula>-8</formula>
    </cfRule>
    <cfRule type="cellIs" dxfId="17" priority="4" stopIfTrue="1" operator="between">
      <formula>-8</formula>
      <formula>5</formula>
    </cfRule>
  </conditionalFormatting>
  <conditionalFormatting sqref="N8:N15 N38:N45">
    <cfRule type="cellIs" dxfId="16" priority="1" operator="equal">
      <formula>"N/A"</formula>
    </cfRule>
  </conditionalFormatting>
  <printOptions horizontalCentered="1" verticalCentered="1"/>
  <pageMargins left="0.25" right="0.25" top="0.25" bottom="0.25"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Input Sheet</vt:lpstr>
      <vt:lpstr>Pg 1</vt:lpstr>
      <vt:lpstr>Pg 2</vt:lpstr>
      <vt:lpstr>Pg 3</vt:lpstr>
      <vt:lpstr>Pg 4</vt:lpstr>
      <vt:lpstr>Pg 5 Full</vt:lpstr>
      <vt:lpstr>Pg 5 70%</vt:lpstr>
      <vt:lpstr>Pg 6 Full</vt:lpstr>
      <vt:lpstr>Pg 6 70%</vt:lpstr>
      <vt:lpstr>Wrnt 5</vt:lpstr>
      <vt:lpstr>Wrnt 9 Input</vt:lpstr>
      <vt:lpstr>Fig 4C-9</vt:lpstr>
      <vt:lpstr>Fig 4C-10</vt:lpstr>
      <vt:lpstr>Worksheet</vt:lpstr>
      <vt:lpstr>Direction</vt:lpstr>
      <vt:lpstr>EWYesNo</vt:lpstr>
      <vt:lpstr>Lanes</vt:lpstr>
      <vt:lpstr>NSYesNo</vt:lpstr>
      <vt:lpstr>'Fig 4C-10'!Print_Area</vt:lpstr>
      <vt:lpstr>'Fig 4C-9'!Print_Area</vt:lpstr>
      <vt:lpstr>'Input Sheet'!Print_Area</vt:lpstr>
      <vt:lpstr>'Pg 1'!Print_Area</vt:lpstr>
      <vt:lpstr>'Pg 2'!Print_Area</vt:lpstr>
      <vt:lpstr>'Pg 3'!Print_Area</vt:lpstr>
      <vt:lpstr>'Pg 4'!Print_Area</vt:lpstr>
      <vt:lpstr>'Pg 5 70%'!Print_Area</vt:lpstr>
      <vt:lpstr>'Pg 5 Full'!Print_Area</vt:lpstr>
      <vt:lpstr>'Pg 6 70%'!Print_Area</vt:lpstr>
      <vt:lpstr>'Pg 6 Full'!Print_Area</vt:lpstr>
      <vt:lpstr>'Wrnt 5'!Print_Area</vt:lpstr>
      <vt:lpstr>Table4C2</vt:lpstr>
      <vt:lpstr>Table4C3</vt:lpstr>
      <vt:lpstr>Table4C4</vt:lpstr>
      <vt:lpstr>X</vt:lpstr>
      <vt:lpstr>YesNo</vt:lpstr>
    </vt:vector>
  </TitlesOfParts>
  <Company>wydot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124554</dc:creator>
  <cp:lastModifiedBy>Lee Roadifer</cp:lastModifiedBy>
  <cp:lastPrinted>2010-09-14T21:34:39Z</cp:lastPrinted>
  <dcterms:created xsi:type="dcterms:W3CDTF">2004-12-17T22:09:33Z</dcterms:created>
  <dcterms:modified xsi:type="dcterms:W3CDTF">2015-03-10T16:04:58Z</dcterms:modified>
</cp:coreProperties>
</file>